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.chernyh\AppData\Local\Microsoft\Windows\INetCache\Content.Outlook\E48H2833\"/>
    </mc:Choice>
  </mc:AlternateContent>
  <xr:revisionPtr revIDLastSave="2277" documentId="8_{F6C02616-8C7E-4670-8B2A-CF4675E898C9}" xr6:coauthVersionLast="47" xr6:coauthVersionMax="47" xr10:uidLastSave="{AC709D17-FEA2-4701-943A-870594E5C4A9}"/>
  <bookViews>
    <workbookView xWindow="-120" yWindow="-120" windowWidth="29040" windowHeight="15840" xr2:uid="{6C16B2AF-BCCC-47C0-BF88-76A081C42A05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1" l="1"/>
  <c r="D117" i="1"/>
  <c r="D114" i="1"/>
  <c r="D102" i="1"/>
  <c r="D97" i="1"/>
  <c r="D85" i="1"/>
  <c r="D84" i="1"/>
  <c r="D83" i="1"/>
  <c r="D90" i="1"/>
  <c r="D88" i="1"/>
  <c r="D65" i="1"/>
  <c r="D60" i="1"/>
  <c r="D57" i="1"/>
  <c r="D52" i="1"/>
  <c r="D45" i="1"/>
  <c r="D43" i="1"/>
  <c r="D38" i="1"/>
  <c r="D35" i="1"/>
  <c r="D34" i="1"/>
  <c r="D33" i="1"/>
  <c r="D18" i="1"/>
  <c r="D87" i="1"/>
  <c r="D71" i="1"/>
  <c r="D128" i="1"/>
  <c r="D127" i="1"/>
  <c r="D126" i="1"/>
  <c r="D118" i="1"/>
  <c r="D115" i="1"/>
  <c r="D116" i="1" s="1"/>
  <c r="D112" i="1"/>
  <c r="D106" i="1"/>
  <c r="D104" i="1"/>
  <c r="D105" i="1" s="1"/>
  <c r="D98" i="1"/>
  <c r="D91" i="1"/>
  <c r="D81" i="1"/>
  <c r="D86" i="1" s="1"/>
  <c r="D80" i="1"/>
  <c r="D82" i="1" s="1"/>
  <c r="D78" i="1"/>
  <c r="D79" i="1" s="1"/>
  <c r="D77" i="1"/>
  <c r="D76" i="1"/>
  <c r="D70" i="1"/>
  <c r="D58" i="1"/>
  <c r="D59" i="1" s="1"/>
  <c r="D49" i="1"/>
  <c r="D53" i="1" s="1"/>
  <c r="D48" i="1"/>
  <c r="D50" i="1" s="1"/>
  <c r="D41" i="1"/>
  <c r="D32" i="1"/>
  <c r="D36" i="1"/>
  <c r="D37" i="1" s="1"/>
  <c r="D29" i="1"/>
  <c r="D30" i="1" s="1"/>
  <c r="D31" i="1" s="1"/>
  <c r="D27" i="1"/>
  <c r="D28" i="1"/>
  <c r="D39" i="1" s="1"/>
  <c r="D20" i="1"/>
  <c r="D22" i="1"/>
  <c r="D8" i="1"/>
  <c r="D17" i="1" s="1"/>
  <c r="D9" i="1"/>
  <c r="D10" i="1"/>
  <c r="D56" i="1" l="1"/>
  <c r="D51" i="1"/>
  <c r="D55" i="1"/>
  <c r="D54" i="1"/>
  <c r="D68" i="1"/>
  <c r="D69" i="1" s="1"/>
  <c r="D66" i="1"/>
  <c r="D67" i="1" s="1"/>
  <c r="D64" i="1"/>
  <c r="D61" i="1"/>
  <c r="D96" i="1"/>
  <c r="D95" i="1"/>
  <c r="D94" i="1"/>
  <c r="D92" i="1"/>
  <c r="D93" i="1" s="1"/>
  <c r="D101" i="1"/>
  <c r="D99" i="1"/>
  <c r="D100" i="1" s="1"/>
  <c r="D121" i="1"/>
  <c r="D122" i="1" s="1"/>
  <c r="D120" i="1"/>
  <c r="D119" i="1"/>
  <c r="D44" i="1"/>
  <c r="D42" i="1"/>
  <c r="D13" i="1"/>
  <c r="D11" i="1"/>
  <c r="D12" i="1" s="1"/>
  <c r="D21" i="1"/>
  <c r="D19" i="1"/>
  <c r="D24" i="1"/>
  <c r="D23" i="1"/>
  <c r="D124" i="1" l="1"/>
  <c r="D123" i="1"/>
  <c r="D63" i="1"/>
  <c r="D62" i="1"/>
  <c r="D89" i="1"/>
  <c r="D46" i="1"/>
  <c r="D15" i="1"/>
  <c r="D16" i="1"/>
  <c r="D14" i="1"/>
</calcChain>
</file>

<file path=xl/sharedStrings.xml><?xml version="1.0" encoding="utf-8"?>
<sst xmlns="http://schemas.openxmlformats.org/spreadsheetml/2006/main" count="321" uniqueCount="170">
  <si>
    <t>Приложение № 1 к ТЗ</t>
  </si>
  <si>
    <t>Ведомость объемов работ по ремонту   "Административного здания (конторы)  литер "А"  ООО "АГРОЛИПЕЦК"  в с. Завальное , Липецкой области Усманского района, ул. Ленина 115</t>
  </si>
  <si>
    <t>Объект недвижимого имущества расположен на земельном участке 48:16:1170201:130</t>
  </si>
  <si>
    <t>№ п/п</t>
  </si>
  <si>
    <t>Наименование работ и затрат</t>
  </si>
  <si>
    <t>ед. изм</t>
  </si>
  <si>
    <t>кол-во</t>
  </si>
  <si>
    <t>Цоколь</t>
  </si>
  <si>
    <t>1</t>
  </si>
  <si>
    <t>Демонтаж штукатурки цоколя</t>
  </si>
  <si>
    <t>м2</t>
  </si>
  <si>
    <t>2</t>
  </si>
  <si>
    <t>Демонтаж штукатурки наружных стен</t>
  </si>
  <si>
    <t>3</t>
  </si>
  <si>
    <t>Очистка поверхности от старого раствора</t>
  </si>
  <si>
    <t>4</t>
  </si>
  <si>
    <t>Антисептическая огрунтовка поверхности цоколя и стен под штукатурку за 2 раза</t>
  </si>
  <si>
    <t>4.1</t>
  </si>
  <si>
    <t>Грунтовка "Оптимист" G 103 для наружных работ с антисептическими добавками</t>
  </si>
  <si>
    <t>л</t>
  </si>
  <si>
    <t>о,25л/м2 расход</t>
  </si>
  <si>
    <t>5</t>
  </si>
  <si>
    <t>Штукатурка цоколя и стен цементно-песчаным раствором по сетке</t>
  </si>
  <si>
    <t>5.1</t>
  </si>
  <si>
    <t>Сетка для штукатурки 25*2 мм</t>
  </si>
  <si>
    <t>5.2</t>
  </si>
  <si>
    <t>Раствор цементно-песчаный М 100</t>
  </si>
  <si>
    <t>м3</t>
  </si>
  <si>
    <t>6</t>
  </si>
  <si>
    <t xml:space="preserve">Затирка штукатурки </t>
  </si>
  <si>
    <t>7</t>
  </si>
  <si>
    <t>Устройство цоколя из профлиста по металлическому каркасу</t>
  </si>
  <si>
    <t>7.1</t>
  </si>
  <si>
    <t>Профнастил окрашенный С-8 толщ 0,4 мм</t>
  </si>
  <si>
    <t>7.2</t>
  </si>
  <si>
    <t xml:space="preserve">каркас из профиля ПС </t>
  </si>
  <si>
    <t>7.3</t>
  </si>
  <si>
    <t>подвес прямой ПП</t>
  </si>
  <si>
    <t>шт</t>
  </si>
  <si>
    <t>7.4</t>
  </si>
  <si>
    <t>Саморезы кровельные  5,5х19 мм</t>
  </si>
  <si>
    <t>8</t>
  </si>
  <si>
    <t>Монтаж отливов из оцинкованной стали шириной 120 мм</t>
  </si>
  <si>
    <t>мп</t>
  </si>
  <si>
    <t>8.1</t>
  </si>
  <si>
    <t>Дюбель-гвоздь 6*40 мм</t>
  </si>
  <si>
    <t>9</t>
  </si>
  <si>
    <t>Заделка примыканий  отливов к стене герметиком</t>
  </si>
  <si>
    <t>9.1</t>
  </si>
  <si>
    <t>Герметик для наружных работ морозостойкий, водостойкий</t>
  </si>
  <si>
    <t>кг</t>
  </si>
  <si>
    <t>Отмостка</t>
  </si>
  <si>
    <t>10</t>
  </si>
  <si>
    <t xml:space="preserve">Демонтаж бетонной отмостки толщиной 100 мм вокруг здания </t>
  </si>
  <si>
    <t>11</t>
  </si>
  <si>
    <t>Демонтаж подстилающего слоя из щебня толщиной 200 мм</t>
  </si>
  <si>
    <t>12</t>
  </si>
  <si>
    <t xml:space="preserve">Трамбование грунта под отмостку </t>
  </si>
  <si>
    <t>13</t>
  </si>
  <si>
    <t>Укладка полиэтиленовой пленки</t>
  </si>
  <si>
    <t>13.1</t>
  </si>
  <si>
    <t xml:space="preserve">пленка полиэтиленовая </t>
  </si>
  <si>
    <t>14</t>
  </si>
  <si>
    <t>устройство компенсационного шва из рубероида 2 слоя (между цоколем и отмосткой)</t>
  </si>
  <si>
    <t>300 мм</t>
  </si>
  <si>
    <t>14.1</t>
  </si>
  <si>
    <t>рубероид РПП</t>
  </si>
  <si>
    <t>15</t>
  </si>
  <si>
    <t>устройство песчаной подготовки толщиной 150 мм с трамбованием</t>
  </si>
  <si>
    <t>15.1</t>
  </si>
  <si>
    <t>песок средней крупности</t>
  </si>
  <si>
    <t>16</t>
  </si>
  <si>
    <t>устройство бетонной отмостки толщиной 150 мм с армированием и уклоном i-3%</t>
  </si>
  <si>
    <t>16.1</t>
  </si>
  <si>
    <t>бетон В 15</t>
  </si>
  <si>
    <t>16.2</t>
  </si>
  <si>
    <t>сетка ф 5 Вр1 100*100 мм</t>
  </si>
  <si>
    <t>т</t>
  </si>
  <si>
    <t>17</t>
  </si>
  <si>
    <t>Погрузка и вывоз мусора</t>
  </si>
  <si>
    <t>крыльцо</t>
  </si>
  <si>
    <t>Демонтаж плитки из керамогранита</t>
  </si>
  <si>
    <t>устройство выравнивающей стяжки толщиной 20 мм</t>
  </si>
  <si>
    <t>раствор цементно-песчаный М 100</t>
  </si>
  <si>
    <t>устройство покрытия пола керамогранитом</t>
  </si>
  <si>
    <t>керамогранитная плитка</t>
  </si>
  <si>
    <t>клей "Юнис"</t>
  </si>
  <si>
    <t>слой 8 мм</t>
  </si>
  <si>
    <t>Ремонт зала совещаний и кухни (№ 8,9 по техплану)</t>
  </si>
  <si>
    <t>Демонтаж облицовочной плитки стен</t>
  </si>
  <si>
    <t>Демонтаж  плитки пола</t>
  </si>
  <si>
    <t>Устройство облицовочной плитки стен</t>
  </si>
  <si>
    <t>плитка облицовочная</t>
  </si>
  <si>
    <t>клей "Юнис" (8 мм)</t>
  </si>
  <si>
    <t>Устройство плитки пола</t>
  </si>
  <si>
    <t>1,35 кг/м2 (слой 1 мм) расход</t>
  </si>
  <si>
    <t>Затирка швов стен и пола</t>
  </si>
  <si>
    <t>затирка для швов</t>
  </si>
  <si>
    <t>0,53 кг/м2 расход</t>
  </si>
  <si>
    <t>Демонтаж обшивки стен из панелей МДВ по каркасу из бруса</t>
  </si>
  <si>
    <t>Обшивка стен гипсокартоном по металлическому каркасу</t>
  </si>
  <si>
    <t>гипсокартон ГКЛ толщ. 12,5 мм</t>
  </si>
  <si>
    <t xml:space="preserve">каркас оцинкованный </t>
  </si>
  <si>
    <t>саморезы "гипсокартон-металл"  3,5*51 мм</t>
  </si>
  <si>
    <t>дюбель-гвоздь 6*40 мм</t>
  </si>
  <si>
    <t>Грунтовка гипсокартона перед шпаклеванием</t>
  </si>
  <si>
    <t>грунтовка проникающая акриловая АХТОН</t>
  </si>
  <si>
    <t>шпатлевание ГКЛ за 2 раза</t>
  </si>
  <si>
    <t>шпаклевка Knauf акриловая</t>
  </si>
  <si>
    <t>Грунтовка гипсокартона под обои</t>
  </si>
  <si>
    <t>грунт АХТОН для сухих и влажных помещений под оклейку обоями</t>
  </si>
  <si>
    <t xml:space="preserve">Установка экранов металлических на радиаторы </t>
  </si>
  <si>
    <t xml:space="preserve">Экран металлический "Виенто" </t>
  </si>
  <si>
    <t>по смете 19</t>
  </si>
  <si>
    <t>Демонтаж дверей деревянных с коробкой и обналичкой (2,05*0,8 м)</t>
  </si>
  <si>
    <t>Монтаж дверей размер 2,1*0,8 м</t>
  </si>
  <si>
    <t>Дверь межкомнатная глухая с порогом, замком и петлями в комплекте, с обналичкой "Венеция " с одной стороны, цвет белёный дуб</t>
  </si>
  <si>
    <t xml:space="preserve">Монтаж умывальника в сборе </t>
  </si>
  <si>
    <t>Демонтаж светильников освещения</t>
  </si>
  <si>
    <t>Устройство подвесного потолка "Армстронг" по оцинкованному каркасу</t>
  </si>
  <si>
    <t xml:space="preserve">Монтаж светодиодных панелей в потолок "Армстронг" </t>
  </si>
  <si>
    <t>Панели светодиодные 600*600 мм</t>
  </si>
  <si>
    <t>Демонтаж линолеума пола</t>
  </si>
  <si>
    <t>Демонтаж плинтуса</t>
  </si>
  <si>
    <t>18</t>
  </si>
  <si>
    <t>Устройство линолеума пола</t>
  </si>
  <si>
    <t>Линолеум полукоммерческий</t>
  </si>
  <si>
    <t>19</t>
  </si>
  <si>
    <t xml:space="preserve">Монтаж плинтуса </t>
  </si>
  <si>
    <t>Плинтус ПВХ с углами и кабель-каналом</t>
  </si>
  <si>
    <t>20</t>
  </si>
  <si>
    <t>Оклейка стен обоями</t>
  </si>
  <si>
    <t>Обои флизилиновые</t>
  </si>
  <si>
    <t>21</t>
  </si>
  <si>
    <t>Окрашивание обоев за 2 раза</t>
  </si>
  <si>
    <t>0,3 л расход</t>
  </si>
  <si>
    <t>краска акриловая Оптимист влагостойкая моющаяся</t>
  </si>
  <si>
    <t>22</t>
  </si>
  <si>
    <t>Расчистка откосов дверных и оконных от масляной краски</t>
  </si>
  <si>
    <t xml:space="preserve">грунтование поверхности </t>
  </si>
  <si>
    <t>Грунт АХТОН для сухих и влажных помещений</t>
  </si>
  <si>
    <t>0,1 л/м2 расход</t>
  </si>
  <si>
    <t>23</t>
  </si>
  <si>
    <t>шпатлевание стен отдельными местами</t>
  </si>
  <si>
    <t>шпаклевка Knauf FUGEN</t>
  </si>
  <si>
    <t>24</t>
  </si>
  <si>
    <t xml:space="preserve">Окраска откосов дверных и оконных </t>
  </si>
  <si>
    <t>краска акриловая "Оптимист" влагостойкая моющаяся</t>
  </si>
  <si>
    <t>Расчистка потолка от побелки</t>
  </si>
  <si>
    <t>26</t>
  </si>
  <si>
    <t>Окраска потолка</t>
  </si>
  <si>
    <t>Санузлы (№2,3,4,5 по техплану)</t>
  </si>
  <si>
    <t>Демонтаж дверей деревянных с коробкой и обналичкой</t>
  </si>
  <si>
    <t>Дверь межкомнатная глухая с порогом, замком и петлями в комплекте, с обналичкой "Венеция " цвет белёный дуб</t>
  </si>
  <si>
    <t>Демонтаж унитазов</t>
  </si>
  <si>
    <t>Монтаж унитазов с подключением</t>
  </si>
  <si>
    <t>в смете 1</t>
  </si>
  <si>
    <t>унитаз "Компакт" с бачком напольный</t>
  </si>
  <si>
    <t>монтаж вытяжки принудительной</t>
  </si>
  <si>
    <t>вентилятор осевой вытяжной Era 4s D 100 mm 20Вт, антимоскитная сетка</t>
  </si>
  <si>
    <t xml:space="preserve">демонтаж умывальников </t>
  </si>
  <si>
    <t xml:space="preserve">монтаж умывальника в сборе </t>
  </si>
  <si>
    <t>демонтаж плитки и стен</t>
  </si>
  <si>
    <t>устройство облицовочной плитки стен</t>
  </si>
  <si>
    <t>устройство плитки пола</t>
  </si>
  <si>
    <t>расчистка потолка от побелки</t>
  </si>
  <si>
    <t xml:space="preserve">монтаж светильников </t>
  </si>
  <si>
    <t xml:space="preserve"> Светильник ВЭП "СВЕТ" НБП 03-60-001 белый</t>
  </si>
  <si>
    <t xml:space="preserve"> Кабель ВВГнг-LS на розетки 3*1.5 в кабель-канале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</si>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</sst>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inden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9" fillId="2" borderId="1" xfId="0" quotePrefix="1" applyNumberFormat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09C1-E523-4F0F-9F6E-588AC2F36C0D}">
  <dimension ref="A1:J128"/>
  <sheetViews>
    <sheetView tabSelected="1" topLeftCell="A112" workbookViewId="0">
      <selection activeCell="D8" sqref="D8:D128"/>
    </sheetView>
  </sheetViews>
  <sheetFormatPr defaultRowHeight="15.75"/>
  <cols>
    <col min="1" max="1" width="9.140625" style="3"/>
    <col min="2" max="2" width="84.5703125" style="3" customWidth="1"/>
    <col min="3" max="3" width="18.85546875" style="3" customWidth="1"/>
    <col min="4" max="4" width="20.42578125" style="3" customWidth="1"/>
    <col min="5" max="5" width="9.140625" style="3" customWidth="1"/>
    <col min="6" max="16384" width="9.140625" style="3"/>
  </cols>
  <sheetData>
    <row r="1" spans="1:10">
      <c r="D1" s="1" t="s">
        <v>0</v>
      </c>
    </row>
    <row r="2" spans="1:10" ht="54.75" customHeight="1">
      <c r="A2" s="34" t="s">
        <v>1</v>
      </c>
      <c r="B2" s="34"/>
      <c r="C2" s="34"/>
      <c r="D2" s="34"/>
      <c r="E2" s="2"/>
      <c r="F2" s="2"/>
      <c r="G2" s="2"/>
      <c r="H2" s="2"/>
    </row>
    <row r="3" spans="1:10" ht="50.25" customHeight="1">
      <c r="A3" s="39" t="s">
        <v>2</v>
      </c>
      <c r="B3" s="39"/>
      <c r="C3" s="39"/>
      <c r="D3" s="39"/>
    </row>
    <row r="4" spans="1:10" ht="13.5" customHeight="1">
      <c r="G4" s="5"/>
    </row>
    <row r="5" spans="1:10" ht="40.5" customHeight="1">
      <c r="A5" s="40" t="s">
        <v>3</v>
      </c>
      <c r="B5" s="41" t="s">
        <v>4</v>
      </c>
      <c r="C5" s="41" t="s">
        <v>5</v>
      </c>
      <c r="D5" s="35" t="s">
        <v>6</v>
      </c>
      <c r="G5" s="4"/>
    </row>
    <row r="6" spans="1:10">
      <c r="A6" s="40"/>
      <c r="B6" s="41"/>
      <c r="C6" s="41"/>
      <c r="D6" s="36"/>
    </row>
    <row r="7" spans="1:10">
      <c r="A7" s="9"/>
      <c r="B7" s="10" t="s">
        <v>7</v>
      </c>
      <c r="C7" s="11"/>
      <c r="D7" s="12"/>
      <c r="E7" s="37"/>
      <c r="F7" s="38"/>
      <c r="G7" s="38"/>
      <c r="H7" s="38"/>
      <c r="I7" s="38"/>
      <c r="J7" s="38"/>
    </row>
    <row r="8" spans="1:10">
      <c r="A8" s="13" t="s">
        <v>8</v>
      </c>
      <c r="B8" s="14" t="s">
        <v>9</v>
      </c>
      <c r="C8" s="15" t="s">
        <v>10</v>
      </c>
      <c r="D8" s="16">
        <f>77.14*0.8</f>
        <v>61.712000000000003</v>
      </c>
    </row>
    <row r="9" spans="1:10">
      <c r="A9" s="13" t="s">
        <v>11</v>
      </c>
      <c r="B9" s="14" t="s">
        <v>12</v>
      </c>
      <c r="C9" s="15" t="s">
        <v>10</v>
      </c>
      <c r="D9" s="16">
        <f>31</f>
        <v>31</v>
      </c>
    </row>
    <row r="10" spans="1:10">
      <c r="A10" s="13" t="s">
        <v>13</v>
      </c>
      <c r="B10" s="14" t="s">
        <v>14</v>
      </c>
      <c r="C10" s="15" t="s">
        <v>10</v>
      </c>
      <c r="D10" s="16">
        <f>D8+D9</f>
        <v>92.712000000000003</v>
      </c>
    </row>
    <row r="11" spans="1:10">
      <c r="A11" s="13" t="s">
        <v>15</v>
      </c>
      <c r="B11" s="14" t="s">
        <v>16</v>
      </c>
      <c r="C11" s="15" t="s">
        <v>10</v>
      </c>
      <c r="D11" s="16">
        <f>D10</f>
        <v>92.712000000000003</v>
      </c>
    </row>
    <row r="12" spans="1:10">
      <c r="A12" s="13" t="s">
        <v>17</v>
      </c>
      <c r="B12" s="14" t="s">
        <v>18</v>
      </c>
      <c r="C12" s="15" t="s">
        <v>19</v>
      </c>
      <c r="D12" s="16">
        <f>D11*0.25*2</f>
        <v>46.356000000000002</v>
      </c>
      <c r="F12" s="6" t="s">
        <v>20</v>
      </c>
    </row>
    <row r="13" spans="1:10">
      <c r="A13" s="13" t="s">
        <v>21</v>
      </c>
      <c r="B13" s="14" t="s">
        <v>22</v>
      </c>
      <c r="C13" s="15" t="s">
        <v>10</v>
      </c>
      <c r="D13" s="16">
        <f>D10</f>
        <v>92.712000000000003</v>
      </c>
    </row>
    <row r="14" spans="1:10">
      <c r="A14" s="13" t="s">
        <v>23</v>
      </c>
      <c r="B14" s="14" t="s">
        <v>24</v>
      </c>
      <c r="C14" s="15" t="s">
        <v>10</v>
      </c>
      <c r="D14" s="16">
        <f>D13*1.025</f>
        <v>95.029799999999994</v>
      </c>
    </row>
    <row r="15" spans="1:10">
      <c r="A15" s="13" t="s">
        <v>25</v>
      </c>
      <c r="B15" s="14" t="s">
        <v>26</v>
      </c>
      <c r="C15" s="15" t="s">
        <v>27</v>
      </c>
      <c r="D15" s="16">
        <f>D13*0.02*2</f>
        <v>3.7084800000000002</v>
      </c>
    </row>
    <row r="16" spans="1:10">
      <c r="A16" s="13" t="s">
        <v>28</v>
      </c>
      <c r="B16" s="14" t="s">
        <v>29</v>
      </c>
      <c r="C16" s="15" t="s">
        <v>10</v>
      </c>
      <c r="D16" s="16">
        <f>D13</f>
        <v>92.712000000000003</v>
      </c>
    </row>
    <row r="17" spans="1:6">
      <c r="A17" s="13" t="s">
        <v>30</v>
      </c>
      <c r="B17" s="14" t="s">
        <v>31</v>
      </c>
      <c r="C17" s="15" t="s">
        <v>10</v>
      </c>
      <c r="D17" s="16">
        <f>D8</f>
        <v>61.712000000000003</v>
      </c>
    </row>
    <row r="18" spans="1:6">
      <c r="A18" s="13" t="s">
        <v>32</v>
      </c>
      <c r="B18" s="14" t="s">
        <v>33</v>
      </c>
      <c r="C18" s="15" t="s">
        <v>10</v>
      </c>
      <c r="D18" s="16">
        <f>D17</f>
        <v>61.712000000000003</v>
      </c>
    </row>
    <row r="19" spans="1:6">
      <c r="A19" s="13" t="s">
        <v>34</v>
      </c>
      <c r="B19" s="14" t="s">
        <v>35</v>
      </c>
      <c r="C19" s="15" t="s">
        <v>10</v>
      </c>
      <c r="D19" s="16">
        <f>D17</f>
        <v>61.712000000000003</v>
      </c>
    </row>
    <row r="20" spans="1:6">
      <c r="A20" s="13" t="s">
        <v>36</v>
      </c>
      <c r="B20" s="14" t="s">
        <v>37</v>
      </c>
      <c r="C20" s="15" t="s">
        <v>38</v>
      </c>
      <c r="D20" s="16">
        <f>302</f>
        <v>302</v>
      </c>
    </row>
    <row r="21" spans="1:6">
      <c r="A21" s="13" t="s">
        <v>39</v>
      </c>
      <c r="B21" s="14" t="s">
        <v>40</v>
      </c>
      <c r="C21" s="15" t="s">
        <v>38</v>
      </c>
      <c r="D21" s="16">
        <f>D17*9</f>
        <v>555.40800000000002</v>
      </c>
      <c r="F21" s="6"/>
    </row>
    <row r="22" spans="1:6">
      <c r="A22" s="13" t="s">
        <v>41</v>
      </c>
      <c r="B22" s="14" t="s">
        <v>42</v>
      </c>
      <c r="C22" s="15" t="s">
        <v>43</v>
      </c>
      <c r="D22" s="16">
        <f>78</f>
        <v>78</v>
      </c>
    </row>
    <row r="23" spans="1:6">
      <c r="A23" s="13" t="s">
        <v>44</v>
      </c>
      <c r="B23" s="14" t="s">
        <v>45</v>
      </c>
      <c r="C23" s="15" t="s">
        <v>38</v>
      </c>
      <c r="D23" s="16">
        <f>D22*2</f>
        <v>156</v>
      </c>
    </row>
    <row r="24" spans="1:6">
      <c r="A24" s="13" t="s">
        <v>46</v>
      </c>
      <c r="B24" s="14" t="s">
        <v>47</v>
      </c>
      <c r="C24" s="15" t="s">
        <v>43</v>
      </c>
      <c r="D24" s="16">
        <f>D22</f>
        <v>78</v>
      </c>
    </row>
    <row r="25" spans="1:6">
      <c r="A25" s="13" t="s">
        <v>48</v>
      </c>
      <c r="B25" s="14" t="s">
        <v>49</v>
      </c>
      <c r="C25" s="15" t="s">
        <v>50</v>
      </c>
      <c r="D25" s="16">
        <v>15.21</v>
      </c>
    </row>
    <row r="26" spans="1:6">
      <c r="A26" s="13"/>
      <c r="B26" s="17" t="s">
        <v>51</v>
      </c>
      <c r="C26" s="15"/>
      <c r="D26" s="16"/>
    </row>
    <row r="27" spans="1:6">
      <c r="A27" s="13" t="s">
        <v>52</v>
      </c>
      <c r="B27" s="18" t="s">
        <v>53</v>
      </c>
      <c r="C27" s="15" t="s">
        <v>27</v>
      </c>
      <c r="D27" s="42">
        <f>85*1*0.1</f>
        <v>8.5</v>
      </c>
    </row>
    <row r="28" spans="1:6">
      <c r="A28" s="13" t="s">
        <v>54</v>
      </c>
      <c r="B28" s="18" t="s">
        <v>55</v>
      </c>
      <c r="C28" s="15" t="s">
        <v>27</v>
      </c>
      <c r="D28" s="16">
        <f>85*1*0.2</f>
        <v>17</v>
      </c>
    </row>
    <row r="29" spans="1:6">
      <c r="A29" s="13" t="s">
        <v>56</v>
      </c>
      <c r="B29" s="14" t="s">
        <v>57</v>
      </c>
      <c r="C29" s="15" t="s">
        <v>10</v>
      </c>
      <c r="D29" s="43">
        <f>85*1</f>
        <v>85</v>
      </c>
    </row>
    <row r="30" spans="1:6">
      <c r="A30" s="13" t="s">
        <v>58</v>
      </c>
      <c r="B30" s="14" t="s">
        <v>59</v>
      </c>
      <c r="C30" s="19" t="s">
        <v>10</v>
      </c>
      <c r="D30" s="44">
        <f>D29</f>
        <v>85</v>
      </c>
    </row>
    <row r="31" spans="1:6">
      <c r="A31" s="13" t="s">
        <v>60</v>
      </c>
      <c r="B31" s="14" t="s">
        <v>61</v>
      </c>
      <c r="C31" s="15" t="s">
        <v>10</v>
      </c>
      <c r="D31" s="45">
        <f>D30*1.05</f>
        <v>89.25</v>
      </c>
    </row>
    <row r="32" spans="1:6" ht="18" customHeight="1">
      <c r="A32" s="13" t="s">
        <v>62</v>
      </c>
      <c r="B32" s="14" t="s">
        <v>63</v>
      </c>
      <c r="C32" s="15" t="s">
        <v>10</v>
      </c>
      <c r="D32" s="16">
        <f>85*2*0.3</f>
        <v>51</v>
      </c>
      <c r="E32" s="3" t="s">
        <v>64</v>
      </c>
    </row>
    <row r="33" spans="1:5">
      <c r="A33" s="13" t="s">
        <v>65</v>
      </c>
      <c r="B33" s="14" t="s">
        <v>66</v>
      </c>
      <c r="C33" s="15" t="s">
        <v>10</v>
      </c>
      <c r="D33" s="16">
        <f>D32*1.22</f>
        <v>62.22</v>
      </c>
    </row>
    <row r="34" spans="1:5">
      <c r="A34" s="13" t="s">
        <v>67</v>
      </c>
      <c r="B34" s="14" t="s">
        <v>68</v>
      </c>
      <c r="C34" s="15" t="s">
        <v>27</v>
      </c>
      <c r="D34" s="16">
        <f>85*0.15</f>
        <v>12.75</v>
      </c>
    </row>
    <row r="35" spans="1:5">
      <c r="A35" s="13" t="s">
        <v>69</v>
      </c>
      <c r="B35" s="14" t="s">
        <v>70</v>
      </c>
      <c r="C35" s="15" t="s">
        <v>27</v>
      </c>
      <c r="D35" s="16">
        <f>D34*1.12</f>
        <v>14.280000000000001</v>
      </c>
    </row>
    <row r="36" spans="1:5">
      <c r="A36" s="13" t="s">
        <v>71</v>
      </c>
      <c r="B36" s="14" t="s">
        <v>72</v>
      </c>
      <c r="C36" s="15" t="s">
        <v>10</v>
      </c>
      <c r="D36" s="16">
        <f>85*1</f>
        <v>85</v>
      </c>
    </row>
    <row r="37" spans="1:5">
      <c r="A37" s="13" t="s">
        <v>73</v>
      </c>
      <c r="B37" s="14" t="s">
        <v>74</v>
      </c>
      <c r="C37" s="15" t="s">
        <v>27</v>
      </c>
      <c r="D37" s="16">
        <f>D36*0.15*1.02</f>
        <v>13.005000000000001</v>
      </c>
    </row>
    <row r="38" spans="1:5">
      <c r="A38" s="13" t="s">
        <v>75</v>
      </c>
      <c r="B38" s="14" t="s">
        <v>76</v>
      </c>
      <c r="C38" s="15" t="s">
        <v>77</v>
      </c>
      <c r="D38" s="16">
        <f>0.2635</f>
        <v>0.26350000000000001</v>
      </c>
    </row>
    <row r="39" spans="1:5">
      <c r="A39" s="13" t="s">
        <v>78</v>
      </c>
      <c r="B39" s="14" t="s">
        <v>79</v>
      </c>
      <c r="C39" s="15" t="s">
        <v>77</v>
      </c>
      <c r="D39" s="16">
        <f>D28*1.6+D27*2.4</f>
        <v>47.6</v>
      </c>
    </row>
    <row r="40" spans="1:5">
      <c r="A40" s="20"/>
      <c r="B40" s="8" t="s">
        <v>80</v>
      </c>
      <c r="C40" s="20"/>
      <c r="D40" s="30"/>
    </row>
    <row r="41" spans="1:5">
      <c r="A41" s="33">
        <v>1</v>
      </c>
      <c r="B41" s="20" t="s">
        <v>81</v>
      </c>
      <c r="C41" s="21" t="s">
        <v>10</v>
      </c>
      <c r="D41" s="46">
        <f>10</f>
        <v>10</v>
      </c>
    </row>
    <row r="42" spans="1:5">
      <c r="A42" s="33">
        <v>2</v>
      </c>
      <c r="B42" s="20" t="s">
        <v>82</v>
      </c>
      <c r="C42" s="21" t="s">
        <v>10</v>
      </c>
      <c r="D42" s="46">
        <f>D41</f>
        <v>10</v>
      </c>
    </row>
    <row r="43" spans="1:5">
      <c r="A43" s="33">
        <v>3</v>
      </c>
      <c r="B43" s="20" t="s">
        <v>83</v>
      </c>
      <c r="C43" s="21" t="s">
        <v>27</v>
      </c>
      <c r="D43" s="46">
        <f>0.204</f>
        <v>0.20399999999999999</v>
      </c>
    </row>
    <row r="44" spans="1:5">
      <c r="A44" s="33">
        <v>4</v>
      </c>
      <c r="B44" s="20" t="s">
        <v>84</v>
      </c>
      <c r="C44" s="21" t="s">
        <v>10</v>
      </c>
      <c r="D44" s="46">
        <f>D41</f>
        <v>10</v>
      </c>
    </row>
    <row r="45" spans="1:5">
      <c r="A45" s="33">
        <v>5</v>
      </c>
      <c r="B45" s="20" t="s">
        <v>85</v>
      </c>
      <c r="C45" s="21" t="s">
        <v>10</v>
      </c>
      <c r="D45" s="46">
        <f>D44*1.1</f>
        <v>11</v>
      </c>
    </row>
    <row r="46" spans="1:5">
      <c r="A46" s="33">
        <v>6</v>
      </c>
      <c r="B46" s="20" t="s">
        <v>86</v>
      </c>
      <c r="C46" s="21" t="s">
        <v>50</v>
      </c>
      <c r="D46" s="46">
        <f>D44*1.35*8</f>
        <v>108</v>
      </c>
      <c r="E46" s="3" t="s">
        <v>87</v>
      </c>
    </row>
    <row r="47" spans="1:5">
      <c r="A47" s="22"/>
      <c r="B47" s="23" t="s">
        <v>88</v>
      </c>
      <c r="C47" s="24"/>
      <c r="D47" s="16"/>
    </row>
    <row r="48" spans="1:5">
      <c r="A48" s="22" t="s">
        <v>8</v>
      </c>
      <c r="B48" s="25" t="s">
        <v>89</v>
      </c>
      <c r="C48" s="24" t="s">
        <v>10</v>
      </c>
      <c r="D48" s="16">
        <f>35</f>
        <v>35</v>
      </c>
    </row>
    <row r="49" spans="1:8">
      <c r="A49" s="22" t="s">
        <v>11</v>
      </c>
      <c r="B49" s="25" t="s">
        <v>90</v>
      </c>
      <c r="C49" s="24" t="s">
        <v>10</v>
      </c>
      <c r="D49" s="16">
        <f>12</f>
        <v>12</v>
      </c>
    </row>
    <row r="50" spans="1:8">
      <c r="A50" s="22" t="s">
        <v>13</v>
      </c>
      <c r="B50" s="25" t="s">
        <v>91</v>
      </c>
      <c r="C50" s="24" t="s">
        <v>10</v>
      </c>
      <c r="D50" s="16">
        <f>D48+3.2</f>
        <v>38.200000000000003</v>
      </c>
    </row>
    <row r="51" spans="1:8">
      <c r="A51" s="22"/>
      <c r="B51" s="25" t="s">
        <v>92</v>
      </c>
      <c r="C51" s="24" t="s">
        <v>10</v>
      </c>
      <c r="D51" s="16">
        <f>D50*1.1</f>
        <v>42.02</v>
      </c>
    </row>
    <row r="52" spans="1:8">
      <c r="A52" s="22"/>
      <c r="B52" s="25" t="s">
        <v>93</v>
      </c>
      <c r="C52" s="24" t="s">
        <v>50</v>
      </c>
      <c r="D52" s="16">
        <f>145</f>
        <v>145</v>
      </c>
    </row>
    <row r="53" spans="1:8">
      <c r="A53" s="22" t="s">
        <v>15</v>
      </c>
      <c r="B53" s="25" t="s">
        <v>94</v>
      </c>
      <c r="C53" s="24" t="s">
        <v>10</v>
      </c>
      <c r="D53" s="16">
        <f>D49</f>
        <v>12</v>
      </c>
    </row>
    <row r="54" spans="1:8">
      <c r="A54" s="22"/>
      <c r="B54" s="25" t="s">
        <v>85</v>
      </c>
      <c r="C54" s="24" t="s">
        <v>10</v>
      </c>
      <c r="D54" s="16">
        <f>D53*1.1</f>
        <v>13.200000000000001</v>
      </c>
    </row>
    <row r="55" spans="1:8">
      <c r="A55" s="22"/>
      <c r="B55" s="25" t="s">
        <v>93</v>
      </c>
      <c r="C55" s="24" t="s">
        <v>50</v>
      </c>
      <c r="D55" s="16">
        <f>D53*1.35*8</f>
        <v>129.60000000000002</v>
      </c>
      <c r="E55" s="7" t="s">
        <v>95</v>
      </c>
      <c r="F55" s="7"/>
      <c r="G55" s="7"/>
      <c r="H55" s="7"/>
    </row>
    <row r="56" spans="1:8">
      <c r="A56" s="22" t="s">
        <v>21</v>
      </c>
      <c r="B56" s="25" t="s">
        <v>96</v>
      </c>
      <c r="C56" s="24" t="s">
        <v>10</v>
      </c>
      <c r="D56" s="16">
        <f>D50+D53</f>
        <v>50.2</v>
      </c>
    </row>
    <row r="57" spans="1:8">
      <c r="A57" s="22"/>
      <c r="B57" s="25" t="s">
        <v>97</v>
      </c>
      <c r="C57" s="24" t="s">
        <v>50</v>
      </c>
      <c r="D57" s="16">
        <f>19.1</f>
        <v>19.100000000000001</v>
      </c>
      <c r="E57" s="7" t="s">
        <v>98</v>
      </c>
      <c r="F57" s="7"/>
      <c r="G57" s="7"/>
    </row>
    <row r="58" spans="1:8">
      <c r="A58" s="22" t="s">
        <v>28</v>
      </c>
      <c r="B58" s="25" t="s">
        <v>99</v>
      </c>
      <c r="C58" s="24" t="s">
        <v>10</v>
      </c>
      <c r="D58" s="16">
        <f>77.116+8.6-2*0.8*2.05</f>
        <v>82.435999999999993</v>
      </c>
    </row>
    <row r="59" spans="1:8">
      <c r="A59" s="22" t="s">
        <v>30</v>
      </c>
      <c r="B59" s="25" t="s">
        <v>100</v>
      </c>
      <c r="C59" s="24" t="s">
        <v>10</v>
      </c>
      <c r="D59" s="16">
        <f>D58</f>
        <v>82.435999999999993</v>
      </c>
    </row>
    <row r="60" spans="1:8">
      <c r="A60" s="22"/>
      <c r="B60" s="25" t="s">
        <v>101</v>
      </c>
      <c r="C60" s="24" t="s">
        <v>10</v>
      </c>
      <c r="D60" s="16">
        <f>86.56</f>
        <v>86.56</v>
      </c>
    </row>
    <row r="61" spans="1:8">
      <c r="A61" s="22"/>
      <c r="B61" s="25" t="s">
        <v>102</v>
      </c>
      <c r="C61" s="24" t="s">
        <v>10</v>
      </c>
      <c r="D61" s="16">
        <f>D59</f>
        <v>82.435999999999993</v>
      </c>
    </row>
    <row r="62" spans="1:8">
      <c r="A62" s="22"/>
      <c r="B62" s="25" t="s">
        <v>103</v>
      </c>
      <c r="C62" s="24" t="s">
        <v>38</v>
      </c>
      <c r="D62" s="16">
        <f>D61*9</f>
        <v>741.92399999999998</v>
      </c>
    </row>
    <row r="63" spans="1:8">
      <c r="A63" s="22"/>
      <c r="B63" s="25" t="s">
        <v>104</v>
      </c>
      <c r="C63" s="24" t="s">
        <v>38</v>
      </c>
      <c r="D63" s="16">
        <f>D61*9</f>
        <v>741.92399999999998</v>
      </c>
    </row>
    <row r="64" spans="1:8">
      <c r="A64" s="22" t="s">
        <v>41</v>
      </c>
      <c r="B64" s="25" t="s">
        <v>105</v>
      </c>
      <c r="C64" s="24" t="s">
        <v>10</v>
      </c>
      <c r="D64" s="16">
        <f>D59</f>
        <v>82.435999999999993</v>
      </c>
    </row>
    <row r="65" spans="1:6">
      <c r="A65" s="22"/>
      <c r="B65" s="25" t="s">
        <v>106</v>
      </c>
      <c r="C65" s="24" t="s">
        <v>19</v>
      </c>
      <c r="D65" s="16">
        <f>5.688</f>
        <v>5.6879999999999997</v>
      </c>
    </row>
    <row r="66" spans="1:6">
      <c r="A66" s="22"/>
      <c r="B66" s="25" t="s">
        <v>107</v>
      </c>
      <c r="C66" s="24" t="s">
        <v>10</v>
      </c>
      <c r="D66" s="16">
        <f>D59</f>
        <v>82.435999999999993</v>
      </c>
    </row>
    <row r="67" spans="1:6">
      <c r="A67" s="22"/>
      <c r="B67" s="25" t="s">
        <v>108</v>
      </c>
      <c r="C67" s="24" t="s">
        <v>50</v>
      </c>
      <c r="D67" s="16">
        <f>D66</f>
        <v>82.435999999999993</v>
      </c>
    </row>
    <row r="68" spans="1:6">
      <c r="A68" s="22" t="s">
        <v>46</v>
      </c>
      <c r="B68" s="26" t="s">
        <v>109</v>
      </c>
      <c r="C68" s="24" t="s">
        <v>10</v>
      </c>
      <c r="D68" s="16">
        <f>D59</f>
        <v>82.435999999999993</v>
      </c>
    </row>
    <row r="69" spans="1:6">
      <c r="A69" s="22"/>
      <c r="B69" s="25" t="s">
        <v>110</v>
      </c>
      <c r="C69" s="24" t="s">
        <v>19</v>
      </c>
      <c r="D69" s="16">
        <f>D68*0.1</f>
        <v>8.2435999999999989</v>
      </c>
    </row>
    <row r="70" spans="1:6">
      <c r="A70" s="22" t="s">
        <v>52</v>
      </c>
      <c r="B70" s="25" t="s">
        <v>111</v>
      </c>
      <c r="C70" s="24" t="s">
        <v>10</v>
      </c>
      <c r="D70" s="16">
        <f>8.16</f>
        <v>8.16</v>
      </c>
    </row>
    <row r="71" spans="1:6">
      <c r="A71" s="22"/>
      <c r="B71" s="25" t="s">
        <v>112</v>
      </c>
      <c r="C71" s="24" t="s">
        <v>38</v>
      </c>
      <c r="D71" s="16">
        <f>7</f>
        <v>7</v>
      </c>
      <c r="F71" s="3" t="s">
        <v>113</v>
      </c>
    </row>
    <row r="72" spans="1:6">
      <c r="A72" s="22" t="s">
        <v>54</v>
      </c>
      <c r="B72" s="25" t="s">
        <v>114</v>
      </c>
      <c r="C72" s="24" t="s">
        <v>38</v>
      </c>
      <c r="D72" s="16">
        <v>2</v>
      </c>
    </row>
    <row r="73" spans="1:6">
      <c r="A73" s="22" t="s">
        <v>56</v>
      </c>
      <c r="B73" s="25" t="s">
        <v>115</v>
      </c>
      <c r="C73" s="24" t="s">
        <v>38</v>
      </c>
      <c r="D73" s="16">
        <v>3</v>
      </c>
    </row>
    <row r="74" spans="1:6" ht="31.5">
      <c r="A74" s="22"/>
      <c r="B74" s="25" t="s">
        <v>116</v>
      </c>
      <c r="C74" s="24" t="s">
        <v>38</v>
      </c>
      <c r="D74" s="16">
        <v>3</v>
      </c>
    </row>
    <row r="75" spans="1:6">
      <c r="A75" s="22" t="s">
        <v>58</v>
      </c>
      <c r="B75" s="25" t="s">
        <v>117</v>
      </c>
      <c r="C75" s="24" t="s">
        <v>38</v>
      </c>
      <c r="D75" s="16">
        <v>1</v>
      </c>
    </row>
    <row r="76" spans="1:6">
      <c r="A76" s="22"/>
      <c r="B76" s="25" t="s">
        <v>118</v>
      </c>
      <c r="C76" s="24" t="s">
        <v>38</v>
      </c>
      <c r="D76" s="16">
        <f>6</f>
        <v>6</v>
      </c>
    </row>
    <row r="77" spans="1:6">
      <c r="A77" s="22" t="s">
        <v>62</v>
      </c>
      <c r="B77" s="25" t="s">
        <v>119</v>
      </c>
      <c r="C77" s="24" t="s">
        <v>10</v>
      </c>
      <c r="D77" s="16">
        <f>60</f>
        <v>60</v>
      </c>
    </row>
    <row r="78" spans="1:6">
      <c r="A78" s="22" t="s">
        <v>67</v>
      </c>
      <c r="B78" s="25" t="s">
        <v>120</v>
      </c>
      <c r="C78" s="24" t="s">
        <v>38</v>
      </c>
      <c r="D78" s="16">
        <f>7</f>
        <v>7</v>
      </c>
    </row>
    <row r="79" spans="1:6">
      <c r="A79" s="22"/>
      <c r="B79" s="25" t="s">
        <v>121</v>
      </c>
      <c r="C79" s="24" t="s">
        <v>38</v>
      </c>
      <c r="D79" s="16">
        <f>D78</f>
        <v>7</v>
      </c>
    </row>
    <row r="80" spans="1:6">
      <c r="A80" s="22" t="s">
        <v>71</v>
      </c>
      <c r="B80" s="25" t="s">
        <v>122</v>
      </c>
      <c r="C80" s="24" t="s">
        <v>10</v>
      </c>
      <c r="D80" s="16">
        <f>41.9</f>
        <v>41.9</v>
      </c>
    </row>
    <row r="81" spans="1:5">
      <c r="A81" s="22" t="s">
        <v>78</v>
      </c>
      <c r="B81" s="25" t="s">
        <v>123</v>
      </c>
      <c r="C81" s="24" t="s">
        <v>43</v>
      </c>
      <c r="D81" s="16">
        <f>28.06</f>
        <v>28.06</v>
      </c>
    </row>
    <row r="82" spans="1:5">
      <c r="A82" s="22" t="s">
        <v>124</v>
      </c>
      <c r="B82" s="25" t="s">
        <v>125</v>
      </c>
      <c r="C82" s="24" t="s">
        <v>10</v>
      </c>
      <c r="D82" s="16">
        <f>D80</f>
        <v>41.9</v>
      </c>
    </row>
    <row r="83" spans="1:5">
      <c r="A83" s="22"/>
      <c r="B83" s="25" t="s">
        <v>126</v>
      </c>
      <c r="C83" s="24" t="s">
        <v>10</v>
      </c>
      <c r="D83" s="16">
        <f>D82*1.02</f>
        <v>42.738</v>
      </c>
    </row>
    <row r="84" spans="1:5">
      <c r="A84" s="22" t="s">
        <v>127</v>
      </c>
      <c r="B84" s="25" t="s">
        <v>128</v>
      </c>
      <c r="C84" s="24" t="s">
        <v>43</v>
      </c>
      <c r="D84" s="16">
        <f>D81</f>
        <v>28.06</v>
      </c>
    </row>
    <row r="85" spans="1:5">
      <c r="A85" s="22"/>
      <c r="B85" s="25" t="s">
        <v>129</v>
      </c>
      <c r="C85" s="24" t="s">
        <v>43</v>
      </c>
      <c r="D85" s="16">
        <f>28.34</f>
        <v>28.34</v>
      </c>
    </row>
    <row r="86" spans="1:5">
      <c r="A86" s="27"/>
      <c r="B86" s="28" t="s">
        <v>104</v>
      </c>
      <c r="C86" s="29" t="s">
        <v>38</v>
      </c>
      <c r="D86" s="42">
        <f>D85*2</f>
        <v>56.68</v>
      </c>
    </row>
    <row r="87" spans="1:5">
      <c r="A87" s="22" t="s">
        <v>130</v>
      </c>
      <c r="B87" s="25" t="s">
        <v>131</v>
      </c>
      <c r="C87" s="24" t="s">
        <v>10</v>
      </c>
      <c r="D87" s="44">
        <f>80</f>
        <v>80</v>
      </c>
    </row>
    <row r="88" spans="1:5" ht="18" customHeight="1">
      <c r="A88" s="22"/>
      <c r="B88" s="25" t="s">
        <v>132</v>
      </c>
      <c r="C88" s="24" t="s">
        <v>10</v>
      </c>
      <c r="D88" s="16">
        <f>89.6</f>
        <v>89.6</v>
      </c>
    </row>
    <row r="89" spans="1:5">
      <c r="A89" s="22" t="s">
        <v>133</v>
      </c>
      <c r="B89" s="25" t="s">
        <v>134</v>
      </c>
      <c r="C89" s="24" t="s">
        <v>10</v>
      </c>
      <c r="D89" s="16">
        <f>D87</f>
        <v>80</v>
      </c>
      <c r="E89" s="3" t="s">
        <v>135</v>
      </c>
    </row>
    <row r="90" spans="1:5">
      <c r="A90" s="22"/>
      <c r="B90" s="25" t="s">
        <v>136</v>
      </c>
      <c r="C90" s="24" t="s">
        <v>19</v>
      </c>
      <c r="D90" s="16">
        <f>24</f>
        <v>24</v>
      </c>
      <c r="E90" s="6"/>
    </row>
    <row r="91" spans="1:5">
      <c r="A91" s="22" t="s">
        <v>137</v>
      </c>
      <c r="B91" s="25" t="s">
        <v>138</v>
      </c>
      <c r="C91" s="24" t="s">
        <v>10</v>
      </c>
      <c r="D91" s="16">
        <f>8.6</f>
        <v>8.6</v>
      </c>
    </row>
    <row r="92" spans="1:5">
      <c r="A92" s="22"/>
      <c r="B92" s="25" t="s">
        <v>139</v>
      </c>
      <c r="C92" s="24" t="s">
        <v>10</v>
      </c>
      <c r="D92" s="16">
        <f>D91</f>
        <v>8.6</v>
      </c>
    </row>
    <row r="93" spans="1:5">
      <c r="A93" s="22"/>
      <c r="B93" s="25" t="s">
        <v>140</v>
      </c>
      <c r="C93" s="24" t="s">
        <v>19</v>
      </c>
      <c r="D93" s="16">
        <f>D92*0.1</f>
        <v>0.86</v>
      </c>
      <c r="E93" s="3" t="s">
        <v>141</v>
      </c>
    </row>
    <row r="94" spans="1:5">
      <c r="A94" s="22" t="s">
        <v>142</v>
      </c>
      <c r="B94" s="25" t="s">
        <v>143</v>
      </c>
      <c r="C94" s="24" t="s">
        <v>10</v>
      </c>
      <c r="D94" s="16">
        <f>D91</f>
        <v>8.6</v>
      </c>
    </row>
    <row r="95" spans="1:5">
      <c r="A95" s="22"/>
      <c r="B95" s="25" t="s">
        <v>144</v>
      </c>
      <c r="C95" s="24" t="s">
        <v>50</v>
      </c>
      <c r="D95" s="16">
        <f>D91*1</f>
        <v>8.6</v>
      </c>
    </row>
    <row r="96" spans="1:5">
      <c r="A96" s="22" t="s">
        <v>145</v>
      </c>
      <c r="B96" s="25" t="s">
        <v>146</v>
      </c>
      <c r="C96" s="24" t="s">
        <v>10</v>
      </c>
      <c r="D96" s="16">
        <f>D91</f>
        <v>8.6</v>
      </c>
    </row>
    <row r="97" spans="1:6">
      <c r="A97" s="22"/>
      <c r="B97" s="25" t="s">
        <v>147</v>
      </c>
      <c r="C97" s="24" t="s">
        <v>19</v>
      </c>
      <c r="D97" s="16">
        <f>6.1</f>
        <v>6.1</v>
      </c>
      <c r="E97" s="6"/>
      <c r="F97" s="6"/>
    </row>
    <row r="98" spans="1:6">
      <c r="A98" s="22" t="s">
        <v>145</v>
      </c>
      <c r="B98" s="25" t="s">
        <v>148</v>
      </c>
      <c r="C98" s="24" t="s">
        <v>10</v>
      </c>
      <c r="D98" s="16">
        <f>10.6</f>
        <v>10.6</v>
      </c>
    </row>
    <row r="99" spans="1:6">
      <c r="A99" s="22"/>
      <c r="B99" s="25" t="s">
        <v>139</v>
      </c>
      <c r="C99" s="24" t="s">
        <v>10</v>
      </c>
      <c r="D99" s="16">
        <f>D98</f>
        <v>10.6</v>
      </c>
    </row>
    <row r="100" spans="1:6">
      <c r="A100" s="22"/>
      <c r="B100" s="25" t="s">
        <v>140</v>
      </c>
      <c r="C100" s="24" t="s">
        <v>19</v>
      </c>
      <c r="D100" s="16">
        <f>D99*0.1</f>
        <v>1.06</v>
      </c>
      <c r="E100" s="3" t="s">
        <v>141</v>
      </c>
    </row>
    <row r="101" spans="1:6">
      <c r="A101" s="22" t="s">
        <v>149</v>
      </c>
      <c r="B101" s="25" t="s">
        <v>150</v>
      </c>
      <c r="C101" s="24" t="s">
        <v>10</v>
      </c>
      <c r="D101" s="16">
        <f>D98</f>
        <v>10.6</v>
      </c>
    </row>
    <row r="102" spans="1:6">
      <c r="A102" s="22"/>
      <c r="B102" s="25" t="s">
        <v>147</v>
      </c>
      <c r="C102" s="24" t="s">
        <v>19</v>
      </c>
      <c r="D102" s="16">
        <f>7.5</f>
        <v>7.5</v>
      </c>
      <c r="E102" s="6"/>
      <c r="F102" s="6"/>
    </row>
    <row r="103" spans="1:6">
      <c r="A103" s="30"/>
      <c r="B103" s="31" t="s">
        <v>151</v>
      </c>
      <c r="C103" s="30"/>
      <c r="D103" s="30"/>
    </row>
    <row r="104" spans="1:6">
      <c r="A104" s="22" t="s">
        <v>8</v>
      </c>
      <c r="B104" s="25" t="s">
        <v>152</v>
      </c>
      <c r="C104" s="24" t="s">
        <v>38</v>
      </c>
      <c r="D104" s="16">
        <f>4</f>
        <v>4</v>
      </c>
    </row>
    <row r="105" spans="1:6">
      <c r="A105" s="22" t="s">
        <v>11</v>
      </c>
      <c r="B105" s="25" t="s">
        <v>115</v>
      </c>
      <c r="C105" s="24" t="s">
        <v>38</v>
      </c>
      <c r="D105" s="16">
        <f>D104</f>
        <v>4</v>
      </c>
    </row>
    <row r="106" spans="1:6" ht="31.5" customHeight="1">
      <c r="A106" s="22"/>
      <c r="B106" s="25" t="s">
        <v>153</v>
      </c>
      <c r="C106" s="24" t="s">
        <v>38</v>
      </c>
      <c r="D106" s="16">
        <f>4</f>
        <v>4</v>
      </c>
    </row>
    <row r="107" spans="1:6" ht="17.25" customHeight="1">
      <c r="A107" s="32">
        <v>3</v>
      </c>
      <c r="B107" s="30" t="s">
        <v>154</v>
      </c>
      <c r="C107" s="32" t="s">
        <v>38</v>
      </c>
      <c r="D107" s="32">
        <v>2</v>
      </c>
    </row>
    <row r="108" spans="1:6" ht="16.5" customHeight="1">
      <c r="A108" s="32">
        <v>4</v>
      </c>
      <c r="B108" s="30" t="s">
        <v>155</v>
      </c>
      <c r="C108" s="32" t="s">
        <v>38</v>
      </c>
      <c r="D108" s="32">
        <v>2</v>
      </c>
      <c r="F108" s="6" t="s">
        <v>156</v>
      </c>
    </row>
    <row r="109" spans="1:6" ht="16.5" customHeight="1">
      <c r="A109" s="32"/>
      <c r="B109" s="30" t="s">
        <v>157</v>
      </c>
      <c r="C109" s="32" t="s">
        <v>38</v>
      </c>
      <c r="D109" s="32">
        <v>2</v>
      </c>
    </row>
    <row r="110" spans="1:6" ht="16.5" customHeight="1">
      <c r="A110" s="32">
        <v>5</v>
      </c>
      <c r="B110" s="30" t="s">
        <v>158</v>
      </c>
      <c r="C110" s="32" t="s">
        <v>38</v>
      </c>
      <c r="D110" s="32">
        <v>2</v>
      </c>
    </row>
    <row r="111" spans="1:6" ht="16.5" customHeight="1">
      <c r="A111" s="32"/>
      <c r="B111" s="30" t="s">
        <v>159</v>
      </c>
      <c r="C111" s="32" t="s">
        <v>38</v>
      </c>
      <c r="D111" s="32">
        <v>2</v>
      </c>
    </row>
    <row r="112" spans="1:6" ht="16.5" customHeight="1">
      <c r="A112" s="32">
        <v>6</v>
      </c>
      <c r="B112" s="30" t="s">
        <v>160</v>
      </c>
      <c r="C112" s="32" t="s">
        <v>38</v>
      </c>
      <c r="D112" s="32">
        <f>2</f>
        <v>2</v>
      </c>
    </row>
    <row r="113" spans="1:4" ht="19.5" customHeight="1">
      <c r="A113" s="32">
        <v>7</v>
      </c>
      <c r="B113" s="30" t="s">
        <v>161</v>
      </c>
      <c r="C113" s="32" t="s">
        <v>38</v>
      </c>
      <c r="D113" s="32">
        <v>2</v>
      </c>
    </row>
    <row r="114" spans="1:4" ht="16.5" customHeight="1">
      <c r="A114" s="32">
        <v>8</v>
      </c>
      <c r="B114" s="30" t="s">
        <v>162</v>
      </c>
      <c r="C114" s="32" t="s">
        <v>10</v>
      </c>
      <c r="D114" s="32">
        <f>55.12</f>
        <v>55.12</v>
      </c>
    </row>
    <row r="115" spans="1:4" ht="19.5" customHeight="1">
      <c r="A115" s="22" t="s">
        <v>46</v>
      </c>
      <c r="B115" s="25" t="s">
        <v>163</v>
      </c>
      <c r="C115" s="24" t="s">
        <v>10</v>
      </c>
      <c r="D115" s="16">
        <f>55.12</f>
        <v>55.12</v>
      </c>
    </row>
    <row r="116" spans="1:4" ht="19.5" customHeight="1">
      <c r="A116" s="22"/>
      <c r="B116" s="25" t="s">
        <v>92</v>
      </c>
      <c r="C116" s="24" t="s">
        <v>10</v>
      </c>
      <c r="D116" s="16">
        <f>D115*1.1</f>
        <v>60.632000000000005</v>
      </c>
    </row>
    <row r="117" spans="1:4" ht="16.5" customHeight="1">
      <c r="A117" s="22"/>
      <c r="B117" s="25" t="s">
        <v>93</v>
      </c>
      <c r="C117" s="24" t="s">
        <v>50</v>
      </c>
      <c r="D117" s="16">
        <f>207</f>
        <v>207</v>
      </c>
    </row>
    <row r="118" spans="1:4" ht="19.5" customHeight="1">
      <c r="A118" s="22" t="s">
        <v>52</v>
      </c>
      <c r="B118" s="25" t="s">
        <v>164</v>
      </c>
      <c r="C118" s="24" t="s">
        <v>10</v>
      </c>
      <c r="D118" s="16">
        <f>7</f>
        <v>7</v>
      </c>
    </row>
    <row r="119" spans="1:4" ht="19.5" customHeight="1">
      <c r="A119" s="22"/>
      <c r="B119" s="25" t="s">
        <v>85</v>
      </c>
      <c r="C119" s="24" t="s">
        <v>10</v>
      </c>
      <c r="D119" s="16">
        <f>D118*1.1</f>
        <v>7.7000000000000011</v>
      </c>
    </row>
    <row r="120" spans="1:4" ht="16.5" customHeight="1">
      <c r="A120" s="22"/>
      <c r="B120" s="25" t="s">
        <v>93</v>
      </c>
      <c r="C120" s="24" t="s">
        <v>50</v>
      </c>
      <c r="D120" s="16">
        <f>D118*1.35*8</f>
        <v>75.600000000000009</v>
      </c>
    </row>
    <row r="121" spans="1:4" ht="19.5" customHeight="1">
      <c r="A121" s="22" t="s">
        <v>54</v>
      </c>
      <c r="B121" s="25" t="s">
        <v>165</v>
      </c>
      <c r="C121" s="24" t="s">
        <v>10</v>
      </c>
      <c r="D121" s="16">
        <f>D118</f>
        <v>7</v>
      </c>
    </row>
    <row r="122" spans="1:4" ht="19.5" customHeight="1">
      <c r="A122" s="22" t="s">
        <v>56</v>
      </c>
      <c r="B122" s="25" t="s">
        <v>139</v>
      </c>
      <c r="C122" s="24" t="s">
        <v>10</v>
      </c>
      <c r="D122" s="16">
        <f>D121</f>
        <v>7</v>
      </c>
    </row>
    <row r="123" spans="1:4" ht="19.5" customHeight="1">
      <c r="A123" s="22"/>
      <c r="B123" s="25" t="s">
        <v>140</v>
      </c>
      <c r="C123" s="24" t="s">
        <v>19</v>
      </c>
      <c r="D123" s="16">
        <f>D122*1.06</f>
        <v>7.42</v>
      </c>
    </row>
    <row r="124" spans="1:4" ht="16.5" customHeight="1">
      <c r="A124" s="22" t="s">
        <v>58</v>
      </c>
      <c r="B124" s="25" t="s">
        <v>150</v>
      </c>
      <c r="C124" s="24" t="s">
        <v>10</v>
      </c>
      <c r="D124" s="16">
        <f>D122</f>
        <v>7</v>
      </c>
    </row>
    <row r="125" spans="1:4" ht="16.5" customHeight="1">
      <c r="A125" s="22"/>
      <c r="B125" s="25" t="s">
        <v>147</v>
      </c>
      <c r="C125" s="24" t="s">
        <v>19</v>
      </c>
      <c r="D125" s="16">
        <f>5</f>
        <v>5</v>
      </c>
    </row>
    <row r="126" spans="1:4" ht="15" customHeight="1">
      <c r="A126" s="22" t="s">
        <v>62</v>
      </c>
      <c r="B126" s="25" t="s">
        <v>166</v>
      </c>
      <c r="C126" s="24" t="s">
        <v>38</v>
      </c>
      <c r="D126" s="16">
        <f>4</f>
        <v>4</v>
      </c>
    </row>
    <row r="127" spans="1:4" ht="14.25" customHeight="1">
      <c r="A127" s="32"/>
      <c r="B127" s="30" t="s">
        <v>167</v>
      </c>
      <c r="C127" s="32" t="s">
        <v>38</v>
      </c>
      <c r="D127" s="32">
        <f>4</f>
        <v>4</v>
      </c>
    </row>
    <row r="128" spans="1:4" ht="14.25" customHeight="1">
      <c r="A128" s="30"/>
      <c r="B128" s="30" t="s">
        <v>168</v>
      </c>
      <c r="C128" s="32" t="s">
        <v>169</v>
      </c>
      <c r="D128" s="32">
        <f>20</f>
        <v>20</v>
      </c>
    </row>
  </sheetData>
  <mergeCells count="7">
    <mergeCell ref="A2:D2"/>
    <mergeCell ref="D5:D6"/>
    <mergeCell ref="E7:J7"/>
    <mergeCell ref="A3:D3"/>
    <mergeCell ref="A5:A6"/>
    <mergeCell ref="B5:B6"/>
    <mergeCell ref="C5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Черных Александр Иванович</dc:creator>
  <cp:keywords/>
  <dc:description/>
  <cp:lastModifiedBy>Долгих Игорь Владимирович</cp:lastModifiedBy>
  <cp:revision/>
  <dcterms:created xsi:type="dcterms:W3CDTF">2020-10-16T13:13:54Z</dcterms:created>
  <dcterms:modified xsi:type="dcterms:W3CDTF">2021-05-26T06:11:46Z</dcterms:modified>
  <cp:category/>
  <cp:contentStatus/>
</cp:coreProperties>
</file>