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kagroinvest-my.sharepoint.com/personal/a_niklyushin_agroinvest_com/Documents/Documents/151-21 фундаменты АГТ/"/>
    </mc:Choice>
  </mc:AlternateContent>
  <xr:revisionPtr revIDLastSave="9" documentId="8_{86BBE69E-87FC-4CA3-8057-3168B0C2168D}" xr6:coauthVersionLast="45" xr6:coauthVersionMax="45" xr10:uidLastSave="{46D00CF0-EB40-43CE-B65C-DFF52F98EA01}"/>
  <bookViews>
    <workbookView xWindow="-120" yWindow="-120" windowWidth="29040" windowHeight="15840" xr2:uid="{2E8140B8-E022-4435-BD1C-F08E8B38838C}"/>
  </bookViews>
  <sheets>
    <sheet name="Приложение №4" sheetId="2" r:id="rId1"/>
    <sheet name="Лист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2" i="2" l="1"/>
  <c r="E112" i="2" s="1"/>
  <c r="G112" i="2" s="1"/>
  <c r="D110" i="2"/>
  <c r="D111" i="2" s="1"/>
  <c r="E111" i="2" s="1"/>
  <c r="G111" i="2" s="1"/>
  <c r="D109" i="2"/>
  <c r="E109" i="2" s="1"/>
  <c r="G109" i="2" s="1"/>
  <c r="E107" i="2"/>
  <c r="G107" i="2" s="1"/>
  <c r="D107" i="2"/>
  <c r="D106" i="2"/>
  <c r="D108" i="2" s="1"/>
  <c r="E108" i="2" s="1"/>
  <c r="G108" i="2" s="1"/>
  <c r="D105" i="2"/>
  <c r="E105" i="2" s="1"/>
  <c r="G105" i="2" s="1"/>
  <c r="G104" i="2"/>
  <c r="D104" i="2"/>
  <c r="E104" i="2" s="1"/>
  <c r="E103" i="2"/>
  <c r="G103" i="2" s="1"/>
  <c r="D103" i="2"/>
  <c r="D98" i="2"/>
  <c r="E95" i="2"/>
  <c r="G95" i="2" s="1"/>
  <c r="D94" i="2"/>
  <c r="D95" i="2" s="1"/>
  <c r="D96" i="2" s="1"/>
  <c r="E96" i="2" s="1"/>
  <c r="G96" i="2" s="1"/>
  <c r="D93" i="2"/>
  <c r="E93" i="2" s="1"/>
  <c r="G93" i="2" s="1"/>
  <c r="G92" i="2"/>
  <c r="D92" i="2"/>
  <c r="E92" i="2" s="1"/>
  <c r="D89" i="2"/>
  <c r="D86" i="2"/>
  <c r="D87" i="2" s="1"/>
  <c r="D88" i="2" s="1"/>
  <c r="E88" i="2" s="1"/>
  <c r="G88" i="2" s="1"/>
  <c r="D85" i="2"/>
  <c r="E85" i="2" s="1"/>
  <c r="G85" i="2" s="1"/>
  <c r="D84" i="2"/>
  <c r="E84" i="2" s="1"/>
  <c r="G84" i="2" s="1"/>
  <c r="D81" i="2"/>
  <c r="E81" i="2" s="1"/>
  <c r="G81" i="2" s="1"/>
  <c r="G80" i="2"/>
  <c r="D80" i="2"/>
  <c r="E80" i="2" s="1"/>
  <c r="E79" i="2"/>
  <c r="G79" i="2" s="1"/>
  <c r="D79" i="2"/>
  <c r="E78" i="2"/>
  <c r="G78" i="2" s="1"/>
  <c r="G77" i="2"/>
  <c r="E77" i="2"/>
  <c r="E76" i="2"/>
  <c r="G76" i="2" s="1"/>
  <c r="D76" i="2"/>
  <c r="D72" i="2"/>
  <c r="D70" i="2"/>
  <c r="E70" i="2" s="1"/>
  <c r="G70" i="2" s="1"/>
  <c r="G68" i="2"/>
  <c r="D66" i="2"/>
  <c r="D67" i="2" s="1"/>
  <c r="D69" i="2" s="1"/>
  <c r="E69" i="2" s="1"/>
  <c r="G69" i="2" s="1"/>
  <c r="D65" i="2"/>
  <c r="E65" i="2" s="1"/>
  <c r="G65" i="2" s="1"/>
  <c r="D57" i="2"/>
  <c r="E57" i="2" s="1"/>
  <c r="G57" i="2" s="1"/>
  <c r="G56" i="2"/>
  <c r="E56" i="2"/>
  <c r="D56" i="2"/>
  <c r="D54" i="2"/>
  <c r="D55" i="2" s="1"/>
  <c r="E55" i="2" s="1"/>
  <c r="G55" i="2" s="1"/>
  <c r="G53" i="2"/>
  <c r="D53" i="2"/>
  <c r="E53" i="2" s="1"/>
  <c r="E52" i="2"/>
  <c r="G52" i="2" s="1"/>
  <c r="D51" i="2"/>
  <c r="D52" i="2" s="1"/>
  <c r="D50" i="2"/>
  <c r="E50" i="2" s="1"/>
  <c r="G50" i="2" s="1"/>
  <c r="D49" i="2"/>
  <c r="E49" i="2" s="1"/>
  <c r="G49" i="2" s="1"/>
  <c r="E48" i="2"/>
  <c r="G48" i="2" s="1"/>
  <c r="D47" i="2"/>
  <c r="E47" i="2" s="1"/>
  <c r="G47" i="2" s="1"/>
  <c r="E46" i="2"/>
  <c r="G46" i="2" s="1"/>
  <c r="D46" i="2"/>
  <c r="D41" i="2"/>
  <c r="E41" i="2" s="1"/>
  <c r="G41" i="2" s="1"/>
  <c r="E40" i="2"/>
  <c r="G40" i="2" s="1"/>
  <c r="D40" i="2"/>
  <c r="D48" i="2" s="1"/>
  <c r="D39" i="2"/>
  <c r="E39" i="2" s="1"/>
  <c r="G39" i="2" s="1"/>
  <c r="D38" i="2"/>
  <c r="E38" i="2" s="1"/>
  <c r="G38" i="2" s="1"/>
  <c r="D35" i="2"/>
  <c r="D37" i="2" s="1"/>
  <c r="E37" i="2" s="1"/>
  <c r="G37" i="2" s="1"/>
  <c r="D33" i="2"/>
  <c r="E33" i="2" s="1"/>
  <c r="G33" i="2" s="1"/>
  <c r="G32" i="2"/>
  <c r="E32" i="2"/>
  <c r="D32" i="2"/>
  <c r="D30" i="2"/>
  <c r="D31" i="2" s="1"/>
  <c r="E31" i="2" s="1"/>
  <c r="G31" i="2" s="1"/>
  <c r="D26" i="2"/>
  <c r="E26" i="2" s="1"/>
  <c r="G26" i="2" s="1"/>
  <c r="D25" i="2"/>
  <c r="E25" i="2" s="1"/>
  <c r="G25" i="2" s="1"/>
  <c r="E24" i="2"/>
  <c r="G24" i="2" s="1"/>
  <c r="D24" i="2"/>
  <c r="D23" i="2"/>
  <c r="D27" i="2" s="1"/>
  <c r="E27" i="2" s="1"/>
  <c r="G27" i="2" s="1"/>
  <c r="D22" i="2"/>
  <c r="E22" i="2" s="1"/>
  <c r="G22" i="2" s="1"/>
  <c r="D21" i="2"/>
  <c r="E21" i="2" s="1"/>
  <c r="G21" i="2" s="1"/>
  <c r="D18" i="2"/>
  <c r="G17" i="2"/>
  <c r="D17" i="2"/>
  <c r="E17" i="2" s="1"/>
  <c r="E16" i="2"/>
  <c r="G16" i="2" s="1"/>
  <c r="D16" i="2"/>
  <c r="G14" i="2"/>
  <c r="D13" i="2"/>
  <c r="E13" i="2" s="1"/>
  <c r="G13" i="2" s="1"/>
  <c r="E12" i="2"/>
  <c r="G12" i="2" s="1"/>
  <c r="D12" i="2"/>
  <c r="D11" i="2"/>
  <c r="E11" i="2" s="1"/>
  <c r="G11" i="2" s="1"/>
  <c r="D43" i="2" l="1"/>
  <c r="E43" i="2" s="1"/>
  <c r="G43" i="2" s="1"/>
  <c r="D73" i="2"/>
  <c r="E73" i="2" s="1"/>
  <c r="G73" i="2" s="1"/>
  <c r="D74" i="2"/>
  <c r="D99" i="2"/>
  <c r="E99" i="2" s="1"/>
  <c r="G99" i="2" s="1"/>
  <c r="D100" i="2"/>
  <c r="D15" i="2"/>
  <c r="E15" i="2" s="1"/>
  <c r="G15" i="2" s="1"/>
  <c r="D28" i="2"/>
  <c r="D20" i="2"/>
  <c r="E20" i="2" s="1"/>
  <c r="G20" i="2" s="1"/>
  <c r="E23" i="2"/>
  <c r="G23" i="2" s="1"/>
  <c r="E66" i="2"/>
  <c r="G66" i="2" s="1"/>
  <c r="E72" i="2"/>
  <c r="G72" i="2" s="1"/>
  <c r="E98" i="2"/>
  <c r="G98" i="2" s="1"/>
  <c r="E18" i="2"/>
  <c r="G18" i="2" s="1"/>
  <c r="E30" i="2"/>
  <c r="G30" i="2" s="1"/>
  <c r="E35" i="2"/>
  <c r="G35" i="2" s="1"/>
  <c r="D42" i="2"/>
  <c r="E42" i="2" s="1"/>
  <c r="G42" i="2" s="1"/>
  <c r="E54" i="2"/>
  <c r="G54" i="2" s="1"/>
  <c r="D71" i="2"/>
  <c r="E71" i="2" s="1"/>
  <c r="G71" i="2" s="1"/>
  <c r="D82" i="2"/>
  <c r="E86" i="2"/>
  <c r="G86" i="2" s="1"/>
  <c r="D91" i="2"/>
  <c r="E91" i="2" s="1"/>
  <c r="G91" i="2" s="1"/>
  <c r="E89" i="2"/>
  <c r="G89" i="2" s="1"/>
  <c r="E110" i="2"/>
  <c r="G110" i="2" s="1"/>
  <c r="D19" i="2"/>
  <c r="E19" i="2" s="1"/>
  <c r="G19" i="2" s="1"/>
  <c r="D34" i="2"/>
  <c r="E51" i="2"/>
  <c r="G51" i="2" s="1"/>
  <c r="D58" i="2"/>
  <c r="E58" i="2" s="1"/>
  <c r="G58" i="2" s="1"/>
  <c r="E67" i="2"/>
  <c r="G67" i="2" s="1"/>
  <c r="E87" i="2"/>
  <c r="G87" i="2" s="1"/>
  <c r="D90" i="2"/>
  <c r="E90" i="2" s="1"/>
  <c r="G90" i="2" s="1"/>
  <c r="E94" i="2"/>
  <c r="G94" i="2" s="1"/>
  <c r="D97" i="2"/>
  <c r="E97" i="2" s="1"/>
  <c r="G97" i="2" s="1"/>
  <c r="E106" i="2"/>
  <c r="G106" i="2" s="1"/>
  <c r="D44" i="2"/>
  <c r="D83" i="2" l="1"/>
  <c r="E83" i="2" s="1"/>
  <c r="G83" i="2" s="1"/>
  <c r="E82" i="2"/>
  <c r="G82" i="2" s="1"/>
  <c r="D29" i="2"/>
  <c r="E29" i="2" s="1"/>
  <c r="G29" i="2" s="1"/>
  <c r="E28" i="2"/>
  <c r="G28" i="2" s="1"/>
  <c r="G59" i="2" s="1"/>
  <c r="E74" i="2"/>
  <c r="G74" i="2" s="1"/>
  <c r="D75" i="2"/>
  <c r="E75" i="2" s="1"/>
  <c r="G75" i="2" s="1"/>
  <c r="E44" i="2"/>
  <c r="G44" i="2" s="1"/>
  <c r="D45" i="2"/>
  <c r="E45" i="2" s="1"/>
  <c r="G45" i="2" s="1"/>
  <c r="D36" i="2"/>
  <c r="E36" i="2" s="1"/>
  <c r="G36" i="2" s="1"/>
  <c r="E34" i="2"/>
  <c r="G34" i="2" s="1"/>
  <c r="E100" i="2"/>
  <c r="G100" i="2" s="1"/>
  <c r="D101" i="2"/>
  <c r="E101" i="2" l="1"/>
  <c r="G101" i="2" s="1"/>
  <c r="G113" i="2" s="1"/>
  <c r="D102" i="2"/>
  <c r="E102" i="2" s="1"/>
  <c r="G102" i="2" s="1"/>
</calcChain>
</file>

<file path=xl/sharedStrings.xml><?xml version="1.0" encoding="utf-8"?>
<sst xmlns="http://schemas.openxmlformats.org/spreadsheetml/2006/main" count="299" uniqueCount="112">
  <si>
    <t>Ведомость объемов работ по ремонту  фундаментов девяти силосов объемом хранения 5000 т, и пяти силосов объемом хранения 1500 т, ООО "АГРОТЕРМИНАЛ"</t>
  </si>
  <si>
    <t xml:space="preserve">ООО “АГРОТЕРМИНАЛ”, Липецкая обл., Усманский район, с. Никольское. </t>
  </si>
  <si>
    <t xml:space="preserve"> Участок хранения и железнодорожной отгрузки зерна, кадастровый №  48:16:1110301:134  .                              Ремонт фундаментов девяти силосов объемом хранения 5000 т </t>
  </si>
  <si>
    <t>№ п/п</t>
  </si>
  <si>
    <t>Наименование работ и затрат</t>
  </si>
  <si>
    <t>ед. изм</t>
  </si>
  <si>
    <t>кол-во</t>
  </si>
  <si>
    <t xml:space="preserve">кол-во </t>
  </si>
  <si>
    <t>Цена за ед. без НДС</t>
  </si>
  <si>
    <t>Стоимость без НДС</t>
  </si>
  <si>
    <t>1 шт.</t>
  </si>
  <si>
    <t>на 9 шт</t>
  </si>
  <si>
    <t>Удаление разрушенного бетона в верхней горизонтальной части фундаментов механизированным способом</t>
  </si>
  <si>
    <t>м3</t>
  </si>
  <si>
    <t>Очистка арматуры от коррозии механизированным способом</t>
  </si>
  <si>
    <t>м2</t>
  </si>
  <si>
    <t>Обработка арматуры составом толщиной 1 мм вручную</t>
  </si>
  <si>
    <t>3.1</t>
  </si>
  <si>
    <t>Кальматрон -Адгезив</t>
  </si>
  <si>
    <t>кг</t>
  </si>
  <si>
    <t>Зачеканка пустот под опорными пластинами стоек  вручную</t>
  </si>
  <si>
    <t>4.1</t>
  </si>
  <si>
    <t>Гидробетон СРГ-Ф2 толщиной 20 мм</t>
  </si>
  <si>
    <t>5</t>
  </si>
  <si>
    <t>Выравнивание горизонтальной поверхности фундамента толщиной 20 мм под пластину</t>
  </si>
  <si>
    <t>5.1</t>
  </si>
  <si>
    <t>Гидробетон СРГ-Ф2</t>
  </si>
  <si>
    <t>6</t>
  </si>
  <si>
    <t xml:space="preserve">Огрунтовка горизонтальной ремонтируемой поверхности фундаментов под пластину </t>
  </si>
  <si>
    <t>6.1</t>
  </si>
  <si>
    <t>Состав "Кальматрон"</t>
  </si>
  <si>
    <t>7</t>
  </si>
  <si>
    <t>Монтаж бондажа из стали толщ. 8 мм и толщ 16 мм</t>
  </si>
  <si>
    <t>мп</t>
  </si>
  <si>
    <t>7.1</t>
  </si>
  <si>
    <t>Сталь листовая С 255 ГОСТ 27772-88 толщ 16 мм</t>
  </si>
  <si>
    <t>т</t>
  </si>
  <si>
    <t>7.2</t>
  </si>
  <si>
    <t>Сталь листовая С 255 ГОСТ 27772-88 толщ 8 мм</t>
  </si>
  <si>
    <t>7.3</t>
  </si>
  <si>
    <t>шпилька М 30 дл. 750 мм (согл узлу л.7)</t>
  </si>
  <si>
    <t>шт</t>
  </si>
  <si>
    <t>7.4</t>
  </si>
  <si>
    <t>гайка М 30 (согл узлу л.7)</t>
  </si>
  <si>
    <t>7.5</t>
  </si>
  <si>
    <t>электроды Э 42   5 мм</t>
  </si>
  <si>
    <t>8</t>
  </si>
  <si>
    <t>Устройство пандуса из бетона по верху фундамента</t>
  </si>
  <si>
    <t>8.1</t>
  </si>
  <si>
    <t>Мелкозернистый бетон В 20 с гидрофобизирующими добавками</t>
  </si>
  <si>
    <t>9</t>
  </si>
  <si>
    <t>Огрунтовка пандуса Праймером</t>
  </si>
  <si>
    <t>9.1</t>
  </si>
  <si>
    <t>Битумный праймер Технониколь 01</t>
  </si>
  <si>
    <t>л</t>
  </si>
  <si>
    <t>10</t>
  </si>
  <si>
    <t>Устройство оклеечной гидроизоляции</t>
  </si>
  <si>
    <t>10.1</t>
  </si>
  <si>
    <t>Техноэласт ЭПП 4.0</t>
  </si>
  <si>
    <t>10.2</t>
  </si>
  <si>
    <t>Газ пропан</t>
  </si>
  <si>
    <t>11</t>
  </si>
  <si>
    <t>устройство прижимной рейки из оцинкованной стали</t>
  </si>
  <si>
    <t>11.1</t>
  </si>
  <si>
    <t>дюбель-гвоздь 50 мм</t>
  </si>
  <si>
    <t>11.2</t>
  </si>
  <si>
    <t>герметик однокомпонентный полиуретановый</t>
  </si>
  <si>
    <t>мп/шва</t>
  </si>
  <si>
    <t>12</t>
  </si>
  <si>
    <t>Разработка грунта вокруг фундаментов</t>
  </si>
  <si>
    <t>13</t>
  </si>
  <si>
    <t>Вывоз грунта на расстояние до 5 км</t>
  </si>
  <si>
    <t>14</t>
  </si>
  <si>
    <t>Удаление разрушенного слоя бетона вертикальной поверхности снаружи фундаментов  механизированным способом толщиной 10 мм</t>
  </si>
  <si>
    <t>15</t>
  </si>
  <si>
    <t>Очистка арматуры механизированным способом</t>
  </si>
  <si>
    <t>16</t>
  </si>
  <si>
    <t>16.1</t>
  </si>
  <si>
    <t>Кальматрон-Адгезив</t>
  </si>
  <si>
    <t>17</t>
  </si>
  <si>
    <t>Нанесение ремонтного состава вручную толщ 10 мм</t>
  </si>
  <si>
    <t>17.1</t>
  </si>
  <si>
    <t>Гидробетон-СРГ-Ф2 толщиной 10 мм</t>
  </si>
  <si>
    <t>18</t>
  </si>
  <si>
    <t>Перетирка отремонтированной поверхности (выравнивание защитного слоя)</t>
  </si>
  <si>
    <t>19</t>
  </si>
  <si>
    <t xml:space="preserve">Нанесение гидроизоляционного материала на отремонтированную поверхность толщиной 2 мм вручную </t>
  </si>
  <si>
    <t>19.1</t>
  </si>
  <si>
    <t>Кальматрон</t>
  </si>
  <si>
    <t>20</t>
  </si>
  <si>
    <t>Устройство галтели толщиной 50 мм</t>
  </si>
  <si>
    <t>20.1</t>
  </si>
  <si>
    <t>21</t>
  </si>
  <si>
    <t>Удаление разрушенного бетона полов механизированным способом толщиной в среднем 40 мм</t>
  </si>
  <si>
    <t>22</t>
  </si>
  <si>
    <t>Выравнивание полов ремонтным составом толщ 40 мм</t>
  </si>
  <si>
    <t>22.1</t>
  </si>
  <si>
    <t>23</t>
  </si>
  <si>
    <t>23.1</t>
  </si>
  <si>
    <t>24</t>
  </si>
  <si>
    <t>Обратная засыпка с уплотнением</t>
  </si>
  <si>
    <t>24.1</t>
  </si>
  <si>
    <t xml:space="preserve">Песок </t>
  </si>
  <si>
    <t>25</t>
  </si>
  <si>
    <t>Уборка площадки выполнения работ и вывоз мусора на расстояние до 5 км</t>
  </si>
  <si>
    <t>Итого</t>
  </si>
  <si>
    <t xml:space="preserve">                                               Участок по приему и отпуску зерна, кадастровый номер № 48:16:1110301:133           Ремонт фундаментов пяти силосов объемом хранения 1500 т</t>
  </si>
  <si>
    <t>5 шт.</t>
  </si>
  <si>
    <t>Выравнивание полов ремонтным составом</t>
  </si>
  <si>
    <t>Заполнить поля отмеченные желтым цветом</t>
  </si>
  <si>
    <t>ООО "…............" ИНН …..................</t>
  </si>
  <si>
    <t>Контактные данные: …...................................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</si>
</sst>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49" fontId="6" fillId="2" borderId="12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4" fontId="6" fillId="2" borderId="19" xfId="0" applyNumberFormat="1" applyFont="1" applyFill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 wrapText="1"/>
    </xf>
    <xf numFmtId="49" fontId="1" fillId="2" borderId="20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6" fillId="2" borderId="22" xfId="0" applyNumberFormat="1" applyFont="1" applyFill="1" applyBorder="1" applyAlignment="1">
      <alignment horizontal="center" vertical="center" wrapText="1"/>
    </xf>
    <xf numFmtId="4" fontId="1" fillId="2" borderId="22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1" fillId="2" borderId="19" xfId="0" applyNumberFormat="1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21" xfId="0" applyFont="1" applyFill="1" applyBorder="1" applyAlignment="1">
      <alignment horizontal="center" vertical="center" wrapText="1"/>
    </xf>
    <xf numFmtId="4" fontId="6" fillId="2" borderId="16" xfId="0" applyNumberFormat="1" applyFont="1" applyFill="1" applyBorder="1" applyAlignment="1">
      <alignment horizontal="center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0" fontId="1" fillId="0" borderId="7" xfId="0" applyFont="1" applyBorder="1"/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7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2C7DE-DC76-4D2C-9464-944E0C68C305}">
  <dimension ref="A1:G141"/>
  <sheetViews>
    <sheetView tabSelected="1" workbookViewId="0">
      <selection activeCell="C5" sqref="C5"/>
    </sheetView>
  </sheetViews>
  <sheetFormatPr defaultRowHeight="15.75" x14ac:dyDescent="0.25"/>
  <cols>
    <col min="1" max="1" width="9.140625" style="1"/>
    <col min="2" max="2" width="57" style="1" customWidth="1"/>
    <col min="3" max="3" width="15.140625" style="1" customWidth="1"/>
    <col min="4" max="4" width="17.42578125" style="1" hidden="1" customWidth="1"/>
    <col min="5" max="5" width="15.42578125" style="1" customWidth="1"/>
    <col min="6" max="6" width="34.85546875" style="6" customWidth="1"/>
    <col min="7" max="7" width="37.7109375" style="6" customWidth="1"/>
    <col min="8" max="16384" width="9.140625" style="1"/>
  </cols>
  <sheetData>
    <row r="1" spans="1:7" x14ac:dyDescent="0.25">
      <c r="D1" s="2"/>
    </row>
    <row r="2" spans="1:7" ht="79.5" customHeight="1" x14ac:dyDescent="0.25">
      <c r="A2" s="3" t="s">
        <v>0</v>
      </c>
      <c r="B2" s="3"/>
      <c r="C2" s="3"/>
      <c r="D2" s="3"/>
      <c r="E2" s="3"/>
      <c r="F2" s="80"/>
      <c r="G2" s="80"/>
    </row>
    <row r="3" spans="1:7" ht="58.5" customHeight="1" x14ac:dyDescent="0.25">
      <c r="A3" s="4" t="s">
        <v>1</v>
      </c>
      <c r="B3" s="4"/>
      <c r="C3" s="4"/>
      <c r="D3" s="4"/>
      <c r="E3" s="4"/>
    </row>
    <row r="4" spans="1:7" x14ac:dyDescent="0.25">
      <c r="B4" s="1" t="s">
        <v>110</v>
      </c>
    </row>
    <row r="5" spans="1:7" x14ac:dyDescent="0.25">
      <c r="B5" s="1" t="s">
        <v>111</v>
      </c>
    </row>
    <row r="6" spans="1:7" ht="20.25" x14ac:dyDescent="0.3">
      <c r="B6" s="84" t="s">
        <v>109</v>
      </c>
      <c r="D6" s="5"/>
    </row>
    <row r="7" spans="1:7" ht="30" customHeight="1" thickBot="1" x14ac:dyDescent="0.3"/>
    <row r="8" spans="1:7" ht="40.5" customHeight="1" thickBot="1" x14ac:dyDescent="0.3">
      <c r="A8" s="7" t="s">
        <v>2</v>
      </c>
      <c r="B8" s="8"/>
      <c r="C8" s="8"/>
      <c r="D8" s="8"/>
      <c r="E8" s="9"/>
    </row>
    <row r="9" spans="1:7" ht="40.5" customHeight="1" thickBot="1" x14ac:dyDescent="0.3">
      <c r="A9" s="10" t="s">
        <v>3</v>
      </c>
      <c r="B9" s="11" t="s">
        <v>4</v>
      </c>
      <c r="C9" s="11" t="s">
        <v>5</v>
      </c>
      <c r="D9" s="12" t="s">
        <v>6</v>
      </c>
      <c r="E9" s="13" t="s">
        <v>7</v>
      </c>
      <c r="F9" s="14" t="s">
        <v>8</v>
      </c>
      <c r="G9" s="14" t="s">
        <v>9</v>
      </c>
    </row>
    <row r="10" spans="1:7" ht="16.5" thickBot="1" x14ac:dyDescent="0.3">
      <c r="A10" s="15"/>
      <c r="B10" s="16"/>
      <c r="C10" s="16"/>
      <c r="D10" s="17" t="s">
        <v>10</v>
      </c>
      <c r="E10" s="18" t="s">
        <v>11</v>
      </c>
      <c r="F10" s="14"/>
      <c r="G10" s="14"/>
    </row>
    <row r="11" spans="1:7" ht="48" thickBot="1" x14ac:dyDescent="0.3">
      <c r="A11" s="19">
        <v>1</v>
      </c>
      <c r="B11" s="20" t="s">
        <v>12</v>
      </c>
      <c r="C11" s="21" t="s">
        <v>13</v>
      </c>
      <c r="D11" s="22">
        <f>19.2*0.05*1.05</f>
        <v>1.008</v>
      </c>
      <c r="E11" s="23">
        <f>D11*9</f>
        <v>9.0719999999999992</v>
      </c>
      <c r="F11" s="81"/>
      <c r="G11" s="81">
        <f>F11*E11</f>
        <v>0</v>
      </c>
    </row>
    <row r="12" spans="1:7" ht="32.25" thickBot="1" x14ac:dyDescent="0.3">
      <c r="A12" s="19">
        <v>2</v>
      </c>
      <c r="B12" s="20" t="s">
        <v>14</v>
      </c>
      <c r="C12" s="21" t="s">
        <v>15</v>
      </c>
      <c r="D12" s="22">
        <f>19.2/5*1.05</f>
        <v>4.032</v>
      </c>
      <c r="E12" s="24">
        <f t="shared" ref="E12:E57" si="0">D12*9</f>
        <v>36.287999999999997</v>
      </c>
      <c r="F12" s="81"/>
      <c r="G12" s="81">
        <f t="shared" ref="G12:G75" si="1">F12*E12</f>
        <v>0</v>
      </c>
    </row>
    <row r="13" spans="1:7" ht="15.75" customHeight="1" x14ac:dyDescent="0.25">
      <c r="A13" s="25">
        <v>3</v>
      </c>
      <c r="B13" s="26" t="s">
        <v>16</v>
      </c>
      <c r="C13" s="25" t="s">
        <v>15</v>
      </c>
      <c r="D13" s="27">
        <f>D12</f>
        <v>4.032</v>
      </c>
      <c r="E13" s="28">
        <f t="shared" si="0"/>
        <v>36.287999999999997</v>
      </c>
      <c r="F13" s="81"/>
      <c r="G13" s="81">
        <f t="shared" si="1"/>
        <v>0</v>
      </c>
    </row>
    <row r="14" spans="1:7" ht="16.5" thickBot="1" x14ac:dyDescent="0.3">
      <c r="A14" s="29"/>
      <c r="B14" s="30"/>
      <c r="C14" s="29"/>
      <c r="D14" s="31"/>
      <c r="E14" s="32"/>
      <c r="F14" s="81"/>
      <c r="G14" s="81">
        <f t="shared" si="1"/>
        <v>0</v>
      </c>
    </row>
    <row r="15" spans="1:7" ht="16.5" thickBot="1" x14ac:dyDescent="0.3">
      <c r="A15" s="33" t="s">
        <v>17</v>
      </c>
      <c r="B15" s="20" t="s">
        <v>18</v>
      </c>
      <c r="C15" s="21" t="s">
        <v>19</v>
      </c>
      <c r="D15" s="22">
        <f>D13*1.5</f>
        <v>6.048</v>
      </c>
      <c r="E15" s="24">
        <f t="shared" si="0"/>
        <v>54.432000000000002</v>
      </c>
      <c r="F15" s="81"/>
      <c r="G15" s="81">
        <f t="shared" si="1"/>
        <v>0</v>
      </c>
    </row>
    <row r="16" spans="1:7" ht="32.25" thickBot="1" x14ac:dyDescent="0.3">
      <c r="A16" s="33">
        <v>4</v>
      </c>
      <c r="B16" s="20" t="s">
        <v>20</v>
      </c>
      <c r="C16" s="21" t="s">
        <v>15</v>
      </c>
      <c r="D16" s="22">
        <f>68*0.15*0.15*1.05</f>
        <v>1.6064999999999998</v>
      </c>
      <c r="E16" s="24">
        <f t="shared" si="0"/>
        <v>14.458499999999999</v>
      </c>
      <c r="F16" s="81"/>
      <c r="G16" s="81">
        <f t="shared" si="1"/>
        <v>0</v>
      </c>
    </row>
    <row r="17" spans="1:7" ht="16.5" thickBot="1" x14ac:dyDescent="0.3">
      <c r="A17" s="33" t="s">
        <v>21</v>
      </c>
      <c r="B17" s="20" t="s">
        <v>22</v>
      </c>
      <c r="C17" s="21" t="s">
        <v>19</v>
      </c>
      <c r="D17" s="22">
        <f>1.53*34*1.05</f>
        <v>54.621000000000002</v>
      </c>
      <c r="E17" s="24">
        <f t="shared" si="0"/>
        <v>491.589</v>
      </c>
      <c r="F17" s="81"/>
      <c r="G17" s="81">
        <f t="shared" si="1"/>
        <v>0</v>
      </c>
    </row>
    <row r="18" spans="1:7" ht="32.25" thickBot="1" x14ac:dyDescent="0.3">
      <c r="A18" s="34" t="s">
        <v>23</v>
      </c>
      <c r="B18" s="35" t="s">
        <v>24</v>
      </c>
      <c r="C18" s="36" t="s">
        <v>15</v>
      </c>
      <c r="D18" s="22">
        <f>19.2*1.05</f>
        <v>20.16</v>
      </c>
      <c r="E18" s="24">
        <f t="shared" si="0"/>
        <v>181.44</v>
      </c>
      <c r="F18" s="81"/>
      <c r="G18" s="81">
        <f t="shared" si="1"/>
        <v>0</v>
      </c>
    </row>
    <row r="19" spans="1:7" ht="16.5" thickBot="1" x14ac:dyDescent="0.3">
      <c r="A19" s="33" t="s">
        <v>25</v>
      </c>
      <c r="B19" s="20" t="s">
        <v>26</v>
      </c>
      <c r="C19" s="21" t="s">
        <v>19</v>
      </c>
      <c r="D19" s="22">
        <f>D18*17*2</f>
        <v>685.44</v>
      </c>
      <c r="E19" s="24">
        <f t="shared" si="0"/>
        <v>6168.9600000000009</v>
      </c>
      <c r="F19" s="81"/>
      <c r="G19" s="81">
        <f t="shared" si="1"/>
        <v>0</v>
      </c>
    </row>
    <row r="20" spans="1:7" ht="32.25" thickBot="1" x14ac:dyDescent="0.3">
      <c r="A20" s="34" t="s">
        <v>27</v>
      </c>
      <c r="B20" s="35" t="s">
        <v>28</v>
      </c>
      <c r="C20" s="36" t="s">
        <v>15</v>
      </c>
      <c r="D20" s="22">
        <f>D18</f>
        <v>20.16</v>
      </c>
      <c r="E20" s="24">
        <f t="shared" si="0"/>
        <v>181.44</v>
      </c>
      <c r="F20" s="81"/>
      <c r="G20" s="81">
        <f t="shared" si="1"/>
        <v>0</v>
      </c>
    </row>
    <row r="21" spans="1:7" ht="16.5" thickBot="1" x14ac:dyDescent="0.3">
      <c r="A21" s="33" t="s">
        <v>29</v>
      </c>
      <c r="B21" s="20" t="s">
        <v>30</v>
      </c>
      <c r="C21" s="21" t="s">
        <v>19</v>
      </c>
      <c r="D21" s="22">
        <f>D18*3.2</f>
        <v>64.512</v>
      </c>
      <c r="E21" s="24">
        <f t="shared" si="0"/>
        <v>580.60799999999995</v>
      </c>
      <c r="F21" s="81"/>
      <c r="G21" s="81">
        <f t="shared" si="1"/>
        <v>0</v>
      </c>
    </row>
    <row r="22" spans="1:7" ht="16.5" thickBot="1" x14ac:dyDescent="0.3">
      <c r="A22" s="34" t="s">
        <v>31</v>
      </c>
      <c r="B22" s="35" t="s">
        <v>32</v>
      </c>
      <c r="C22" s="36" t="s">
        <v>33</v>
      </c>
      <c r="D22" s="22">
        <f>2*3.14*10.3</f>
        <v>64.684000000000012</v>
      </c>
      <c r="E22" s="37">
        <f t="shared" si="0"/>
        <v>582.15600000000006</v>
      </c>
      <c r="F22" s="81"/>
      <c r="G22" s="81">
        <f t="shared" si="1"/>
        <v>0</v>
      </c>
    </row>
    <row r="23" spans="1:7" ht="16.5" thickBot="1" x14ac:dyDescent="0.3">
      <c r="A23" s="34" t="s">
        <v>34</v>
      </c>
      <c r="B23" s="35" t="s">
        <v>35</v>
      </c>
      <c r="C23" s="36" t="s">
        <v>36</v>
      </c>
      <c r="D23" s="22">
        <f>1.95</f>
        <v>1.95</v>
      </c>
      <c r="E23" s="37">
        <f t="shared" si="0"/>
        <v>17.55</v>
      </c>
      <c r="F23" s="81"/>
      <c r="G23" s="81">
        <f t="shared" si="1"/>
        <v>0</v>
      </c>
    </row>
    <row r="24" spans="1:7" ht="16.5" thickBot="1" x14ac:dyDescent="0.3">
      <c r="A24" s="34" t="s">
        <v>37</v>
      </c>
      <c r="B24" s="35" t="s">
        <v>38</v>
      </c>
      <c r="C24" s="36" t="s">
        <v>36</v>
      </c>
      <c r="D24" s="22">
        <f>0.05</f>
        <v>0.05</v>
      </c>
      <c r="E24" s="37">
        <f t="shared" si="0"/>
        <v>0.45</v>
      </c>
      <c r="F24" s="81"/>
      <c r="G24" s="81">
        <f t="shared" si="1"/>
        <v>0</v>
      </c>
    </row>
    <row r="25" spans="1:7" ht="16.5" thickBot="1" x14ac:dyDescent="0.3">
      <c r="A25" s="34" t="s">
        <v>39</v>
      </c>
      <c r="B25" s="35" t="s">
        <v>40</v>
      </c>
      <c r="C25" s="36" t="s">
        <v>41</v>
      </c>
      <c r="D25" s="22">
        <f>2*6</f>
        <v>12</v>
      </c>
      <c r="E25" s="37">
        <f t="shared" si="0"/>
        <v>108</v>
      </c>
      <c r="F25" s="81"/>
      <c r="G25" s="81">
        <f t="shared" si="1"/>
        <v>0</v>
      </c>
    </row>
    <row r="26" spans="1:7" ht="16.5" thickBot="1" x14ac:dyDescent="0.3">
      <c r="A26" s="34" t="s">
        <v>42</v>
      </c>
      <c r="B26" s="35" t="s">
        <v>43</v>
      </c>
      <c r="C26" s="36" t="s">
        <v>41</v>
      </c>
      <c r="D26" s="22">
        <f>8*6</f>
        <v>48</v>
      </c>
      <c r="E26" s="37">
        <f t="shared" si="0"/>
        <v>432</v>
      </c>
      <c r="F26" s="81"/>
      <c r="G26" s="81">
        <f t="shared" si="1"/>
        <v>0</v>
      </c>
    </row>
    <row r="27" spans="1:7" ht="16.5" thickBot="1" x14ac:dyDescent="0.3">
      <c r="A27" s="34" t="s">
        <v>44</v>
      </c>
      <c r="B27" s="35" t="s">
        <v>45</v>
      </c>
      <c r="C27" s="36" t="s">
        <v>36</v>
      </c>
      <c r="D27" s="22">
        <f>(D23+D24)*0.021</f>
        <v>4.2000000000000003E-2</v>
      </c>
      <c r="E27" s="37">
        <f t="shared" si="0"/>
        <v>0.378</v>
      </c>
      <c r="F27" s="81"/>
      <c r="G27" s="81">
        <f t="shared" si="1"/>
        <v>0</v>
      </c>
    </row>
    <row r="28" spans="1:7" ht="16.5" thickBot="1" x14ac:dyDescent="0.3">
      <c r="A28" s="33" t="s">
        <v>46</v>
      </c>
      <c r="B28" s="20" t="s">
        <v>47</v>
      </c>
      <c r="C28" s="21" t="s">
        <v>13</v>
      </c>
      <c r="D28" s="22">
        <f>D18*0.1</f>
        <v>2.016</v>
      </c>
      <c r="E28" s="24">
        <f t="shared" si="0"/>
        <v>18.143999999999998</v>
      </c>
      <c r="F28" s="81"/>
      <c r="G28" s="81">
        <f t="shared" si="1"/>
        <v>0</v>
      </c>
    </row>
    <row r="29" spans="1:7" ht="32.25" thickBot="1" x14ac:dyDescent="0.3">
      <c r="A29" s="33" t="s">
        <v>48</v>
      </c>
      <c r="B29" s="20" t="s">
        <v>49</v>
      </c>
      <c r="C29" s="21" t="s">
        <v>13</v>
      </c>
      <c r="D29" s="22">
        <f>D28*1.1</f>
        <v>2.2176</v>
      </c>
      <c r="E29" s="24">
        <f t="shared" si="0"/>
        <v>19.958400000000001</v>
      </c>
      <c r="F29" s="81"/>
      <c r="G29" s="81">
        <f t="shared" si="1"/>
        <v>0</v>
      </c>
    </row>
    <row r="30" spans="1:7" ht="16.5" thickBot="1" x14ac:dyDescent="0.3">
      <c r="A30" s="34" t="s">
        <v>50</v>
      </c>
      <c r="B30" s="35" t="s">
        <v>51</v>
      </c>
      <c r="C30" s="36" t="s">
        <v>15</v>
      </c>
      <c r="D30" s="22">
        <f>55*1.05</f>
        <v>57.75</v>
      </c>
      <c r="E30" s="37">
        <f t="shared" si="0"/>
        <v>519.75</v>
      </c>
      <c r="F30" s="81"/>
      <c r="G30" s="81">
        <f t="shared" si="1"/>
        <v>0</v>
      </c>
    </row>
    <row r="31" spans="1:7" ht="16.5" thickBot="1" x14ac:dyDescent="0.3">
      <c r="A31" s="34" t="s">
        <v>52</v>
      </c>
      <c r="B31" s="35" t="s">
        <v>53</v>
      </c>
      <c r="C31" s="36" t="s">
        <v>54</v>
      </c>
      <c r="D31" s="22">
        <f>D30*0.35</f>
        <v>20.212499999999999</v>
      </c>
      <c r="E31" s="37">
        <f t="shared" si="0"/>
        <v>181.91249999999999</v>
      </c>
      <c r="F31" s="81"/>
      <c r="G31" s="81">
        <f t="shared" si="1"/>
        <v>0</v>
      </c>
    </row>
    <row r="32" spans="1:7" ht="16.5" thickBot="1" x14ac:dyDescent="0.3">
      <c r="A32" s="33" t="s">
        <v>55</v>
      </c>
      <c r="B32" s="20" t="s">
        <v>56</v>
      </c>
      <c r="C32" s="21" t="s">
        <v>15</v>
      </c>
      <c r="D32" s="22">
        <f>55</f>
        <v>55</v>
      </c>
      <c r="E32" s="24">
        <f t="shared" si="0"/>
        <v>495</v>
      </c>
      <c r="F32" s="81"/>
      <c r="G32" s="81">
        <f t="shared" si="1"/>
        <v>0</v>
      </c>
    </row>
    <row r="33" spans="1:7" ht="16.5" thickBot="1" x14ac:dyDescent="0.3">
      <c r="A33" s="33" t="s">
        <v>57</v>
      </c>
      <c r="B33" s="20" t="s">
        <v>58</v>
      </c>
      <c r="C33" s="21" t="s">
        <v>15</v>
      </c>
      <c r="D33" s="38">
        <f>D32*1.15</f>
        <v>63.249999999999993</v>
      </c>
      <c r="E33" s="24">
        <f t="shared" si="0"/>
        <v>569.24999999999989</v>
      </c>
      <c r="F33" s="81"/>
      <c r="G33" s="81">
        <f t="shared" si="1"/>
        <v>0</v>
      </c>
    </row>
    <row r="34" spans="1:7" ht="16.5" thickBot="1" x14ac:dyDescent="0.3">
      <c r="A34" s="33" t="s">
        <v>59</v>
      </c>
      <c r="B34" s="20" t="s">
        <v>60</v>
      </c>
      <c r="C34" s="39" t="s">
        <v>19</v>
      </c>
      <c r="D34" s="40">
        <f>D33/100*15.02</f>
        <v>9.5001499999999997</v>
      </c>
      <c r="E34" s="24">
        <f t="shared" si="0"/>
        <v>85.501350000000002</v>
      </c>
      <c r="F34" s="81"/>
      <c r="G34" s="81">
        <f t="shared" si="1"/>
        <v>0</v>
      </c>
    </row>
    <row r="35" spans="1:7" ht="16.5" thickBot="1" x14ac:dyDescent="0.3">
      <c r="A35" s="34" t="s">
        <v>61</v>
      </c>
      <c r="B35" s="35" t="s">
        <v>62</v>
      </c>
      <c r="C35" s="36" t="s">
        <v>33</v>
      </c>
      <c r="D35" s="22">
        <f>2*3.14*10</f>
        <v>62.800000000000004</v>
      </c>
      <c r="E35" s="37">
        <f>D35*9</f>
        <v>565.20000000000005</v>
      </c>
      <c r="F35" s="81"/>
      <c r="G35" s="81">
        <f t="shared" si="1"/>
        <v>0</v>
      </c>
    </row>
    <row r="36" spans="1:7" ht="16.5" thickBot="1" x14ac:dyDescent="0.3">
      <c r="A36" s="34" t="s">
        <v>63</v>
      </c>
      <c r="B36" s="35" t="s">
        <v>64</v>
      </c>
      <c r="C36" s="36" t="s">
        <v>41</v>
      </c>
      <c r="D36" s="22">
        <f>D34*2</f>
        <v>19.000299999999999</v>
      </c>
      <c r="E36" s="37">
        <f>D36*9</f>
        <v>171.0027</v>
      </c>
      <c r="F36" s="81"/>
      <c r="G36" s="81">
        <f t="shared" si="1"/>
        <v>0</v>
      </c>
    </row>
    <row r="37" spans="1:7" ht="16.5" thickBot="1" x14ac:dyDescent="0.3">
      <c r="A37" s="34" t="s">
        <v>65</v>
      </c>
      <c r="B37" s="35" t="s">
        <v>66</v>
      </c>
      <c r="C37" s="36" t="s">
        <v>67</v>
      </c>
      <c r="D37" s="22">
        <f>D35</f>
        <v>62.800000000000004</v>
      </c>
      <c r="E37" s="37">
        <f>D37*9</f>
        <v>565.20000000000005</v>
      </c>
      <c r="F37" s="81"/>
      <c r="G37" s="81">
        <f t="shared" si="1"/>
        <v>0</v>
      </c>
    </row>
    <row r="38" spans="1:7" ht="16.5" thickBot="1" x14ac:dyDescent="0.3">
      <c r="A38" s="34" t="s">
        <v>68</v>
      </c>
      <c r="B38" s="35" t="s">
        <v>69</v>
      </c>
      <c r="C38" s="36" t="s">
        <v>13</v>
      </c>
      <c r="D38" s="22">
        <f>(3.14*12.5*12.5-3.14*11*11)*0.45*1.05</f>
        <v>52.298662500000006</v>
      </c>
      <c r="E38" s="37">
        <f t="shared" si="0"/>
        <v>470.68796250000003</v>
      </c>
      <c r="F38" s="81"/>
      <c r="G38" s="81">
        <f t="shared" si="1"/>
        <v>0</v>
      </c>
    </row>
    <row r="39" spans="1:7" ht="16.5" thickBot="1" x14ac:dyDescent="0.3">
      <c r="A39" s="34" t="s">
        <v>70</v>
      </c>
      <c r="B39" s="35" t="s">
        <v>71</v>
      </c>
      <c r="C39" s="36" t="s">
        <v>13</v>
      </c>
      <c r="D39" s="22">
        <f>(3.14*12.5*12.5-3.14*11*11)*0.45</f>
        <v>49.808250000000001</v>
      </c>
      <c r="E39" s="37">
        <f t="shared" si="0"/>
        <v>448.27424999999999</v>
      </c>
      <c r="F39" s="81"/>
      <c r="G39" s="81">
        <f t="shared" si="1"/>
        <v>0</v>
      </c>
    </row>
    <row r="40" spans="1:7" ht="48" thickBot="1" x14ac:dyDescent="0.3">
      <c r="A40" s="34" t="s">
        <v>72</v>
      </c>
      <c r="B40" s="35" t="s">
        <v>73</v>
      </c>
      <c r="C40" s="36" t="s">
        <v>15</v>
      </c>
      <c r="D40" s="22">
        <f>228.91*1.05</f>
        <v>240.35550000000001</v>
      </c>
      <c r="E40" s="37">
        <f t="shared" si="0"/>
        <v>2163.1995000000002</v>
      </c>
      <c r="F40" s="81"/>
      <c r="G40" s="81">
        <f t="shared" si="1"/>
        <v>0</v>
      </c>
    </row>
    <row r="41" spans="1:7" ht="16.5" thickBot="1" x14ac:dyDescent="0.3">
      <c r="A41" s="34" t="s">
        <v>74</v>
      </c>
      <c r="B41" s="35" t="s">
        <v>75</v>
      </c>
      <c r="C41" s="36" t="s">
        <v>15</v>
      </c>
      <c r="D41" s="22">
        <f>D40/5</f>
        <v>48.071100000000001</v>
      </c>
      <c r="E41" s="37">
        <f t="shared" si="0"/>
        <v>432.63990000000001</v>
      </c>
      <c r="F41" s="81"/>
      <c r="G41" s="81">
        <f t="shared" si="1"/>
        <v>0</v>
      </c>
    </row>
    <row r="42" spans="1:7" ht="16.5" thickBot="1" x14ac:dyDescent="0.3">
      <c r="A42" s="34" t="s">
        <v>76</v>
      </c>
      <c r="B42" s="35" t="s">
        <v>16</v>
      </c>
      <c r="C42" s="36" t="s">
        <v>15</v>
      </c>
      <c r="D42" s="22">
        <f>D41</f>
        <v>48.071100000000001</v>
      </c>
      <c r="E42" s="37">
        <f t="shared" si="0"/>
        <v>432.63990000000001</v>
      </c>
      <c r="F42" s="81"/>
      <c r="G42" s="81">
        <f t="shared" si="1"/>
        <v>0</v>
      </c>
    </row>
    <row r="43" spans="1:7" ht="16.5" thickBot="1" x14ac:dyDescent="0.3">
      <c r="A43" s="34" t="s">
        <v>77</v>
      </c>
      <c r="B43" s="35" t="s">
        <v>78</v>
      </c>
      <c r="C43" s="36" t="s">
        <v>19</v>
      </c>
      <c r="D43" s="22">
        <f>D41*1.5</f>
        <v>72.106650000000002</v>
      </c>
      <c r="E43" s="37">
        <f t="shared" si="0"/>
        <v>648.95984999999996</v>
      </c>
      <c r="F43" s="81"/>
      <c r="G43" s="81">
        <f t="shared" si="1"/>
        <v>0</v>
      </c>
    </row>
    <row r="44" spans="1:7" ht="16.5" thickBot="1" x14ac:dyDescent="0.3">
      <c r="A44" s="34" t="s">
        <v>79</v>
      </c>
      <c r="B44" s="35" t="s">
        <v>80</v>
      </c>
      <c r="C44" s="36" t="s">
        <v>15</v>
      </c>
      <c r="D44" s="22">
        <f>D40</f>
        <v>240.35550000000001</v>
      </c>
      <c r="E44" s="37">
        <f t="shared" si="0"/>
        <v>2163.1995000000002</v>
      </c>
      <c r="F44" s="81"/>
      <c r="G44" s="81">
        <f t="shared" si="1"/>
        <v>0</v>
      </c>
    </row>
    <row r="45" spans="1:7" ht="16.5" thickBot="1" x14ac:dyDescent="0.3">
      <c r="A45" s="34" t="s">
        <v>81</v>
      </c>
      <c r="B45" s="35" t="s">
        <v>82</v>
      </c>
      <c r="C45" s="36" t="s">
        <v>19</v>
      </c>
      <c r="D45" s="22">
        <f>D44*17</f>
        <v>4086.0435000000002</v>
      </c>
      <c r="E45" s="37">
        <f t="shared" si="0"/>
        <v>36774.391500000005</v>
      </c>
      <c r="F45" s="81"/>
      <c r="G45" s="81">
        <f t="shared" si="1"/>
        <v>0</v>
      </c>
    </row>
    <row r="46" spans="1:7" ht="32.25" thickBot="1" x14ac:dyDescent="0.3">
      <c r="A46" s="34" t="s">
        <v>83</v>
      </c>
      <c r="B46" s="35" t="s">
        <v>84</v>
      </c>
      <c r="C46" s="36" t="s">
        <v>15</v>
      </c>
      <c r="D46" s="22">
        <f>D40</f>
        <v>240.35550000000001</v>
      </c>
      <c r="E46" s="37">
        <f t="shared" si="0"/>
        <v>2163.1995000000002</v>
      </c>
      <c r="F46" s="81"/>
      <c r="G46" s="81">
        <f t="shared" si="1"/>
        <v>0</v>
      </c>
    </row>
    <row r="47" spans="1:7" ht="48" thickBot="1" x14ac:dyDescent="0.3">
      <c r="A47" s="34" t="s">
        <v>85</v>
      </c>
      <c r="B47" s="35" t="s">
        <v>86</v>
      </c>
      <c r="C47" s="36" t="s">
        <v>15</v>
      </c>
      <c r="D47" s="22">
        <f>D40</f>
        <v>240.35550000000001</v>
      </c>
      <c r="E47" s="37">
        <f t="shared" si="0"/>
        <v>2163.1995000000002</v>
      </c>
      <c r="F47" s="81"/>
      <c r="G47" s="81">
        <f t="shared" si="1"/>
        <v>0</v>
      </c>
    </row>
    <row r="48" spans="1:7" ht="16.5" thickBot="1" x14ac:dyDescent="0.3">
      <c r="A48" s="34" t="s">
        <v>87</v>
      </c>
      <c r="B48" s="35" t="s">
        <v>88</v>
      </c>
      <c r="C48" s="36" t="s">
        <v>19</v>
      </c>
      <c r="D48" s="22">
        <f>D40*3.2</f>
        <v>769.13760000000002</v>
      </c>
      <c r="E48" s="37">
        <f t="shared" si="0"/>
        <v>6922.2384000000002</v>
      </c>
      <c r="F48" s="81"/>
      <c r="G48" s="81">
        <f t="shared" si="1"/>
        <v>0</v>
      </c>
    </row>
    <row r="49" spans="1:7" ht="16.5" thickBot="1" x14ac:dyDescent="0.3">
      <c r="A49" s="34" t="s">
        <v>89</v>
      </c>
      <c r="B49" s="35" t="s">
        <v>90</v>
      </c>
      <c r="C49" s="36" t="s">
        <v>33</v>
      </c>
      <c r="D49" s="22">
        <f>62.8*1.05</f>
        <v>65.94</v>
      </c>
      <c r="E49" s="37">
        <f t="shared" si="0"/>
        <v>593.46</v>
      </c>
      <c r="F49" s="81"/>
      <c r="G49" s="81">
        <f t="shared" si="1"/>
        <v>0</v>
      </c>
    </row>
    <row r="50" spans="1:7" ht="16.5" thickBot="1" x14ac:dyDescent="0.3">
      <c r="A50" s="34" t="s">
        <v>91</v>
      </c>
      <c r="B50" s="35" t="s">
        <v>26</v>
      </c>
      <c r="C50" s="36" t="s">
        <v>19</v>
      </c>
      <c r="D50" s="22">
        <f>133.45*1.05</f>
        <v>140.1225</v>
      </c>
      <c r="E50" s="37">
        <f t="shared" si="0"/>
        <v>1261.1025</v>
      </c>
      <c r="F50" s="81"/>
      <c r="G50" s="81">
        <f t="shared" si="1"/>
        <v>0</v>
      </c>
    </row>
    <row r="51" spans="1:7" ht="48" thickBot="1" x14ac:dyDescent="0.3">
      <c r="A51" s="34" t="s">
        <v>92</v>
      </c>
      <c r="B51" s="20" t="s">
        <v>93</v>
      </c>
      <c r="C51" s="36" t="s">
        <v>15</v>
      </c>
      <c r="D51" s="22">
        <f>241*1.1</f>
        <v>265.10000000000002</v>
      </c>
      <c r="E51" s="37">
        <f>D51*9</f>
        <v>2385.9</v>
      </c>
      <c r="F51" s="81"/>
      <c r="G51" s="81">
        <f t="shared" si="1"/>
        <v>0</v>
      </c>
    </row>
    <row r="52" spans="1:7" ht="16.5" thickBot="1" x14ac:dyDescent="0.3">
      <c r="A52" s="34" t="s">
        <v>94</v>
      </c>
      <c r="B52" s="35" t="s">
        <v>95</v>
      </c>
      <c r="C52" s="36" t="s">
        <v>15</v>
      </c>
      <c r="D52" s="22">
        <f>D51</f>
        <v>265.10000000000002</v>
      </c>
      <c r="E52" s="37">
        <f>D52*9</f>
        <v>2385.9</v>
      </c>
      <c r="F52" s="81"/>
      <c r="G52" s="81">
        <f t="shared" si="1"/>
        <v>0</v>
      </c>
    </row>
    <row r="53" spans="1:7" ht="16.5" thickBot="1" x14ac:dyDescent="0.3">
      <c r="A53" s="34" t="s">
        <v>96</v>
      </c>
      <c r="B53" s="35" t="s">
        <v>26</v>
      </c>
      <c r="C53" s="21" t="s">
        <v>13</v>
      </c>
      <c r="D53" s="22">
        <f>9.61</f>
        <v>9.61</v>
      </c>
      <c r="E53" s="24">
        <f>D53*9</f>
        <v>86.49</v>
      </c>
      <c r="F53" s="81"/>
      <c r="G53" s="81">
        <f t="shared" si="1"/>
        <v>0</v>
      </c>
    </row>
    <row r="54" spans="1:7" ht="48" thickBot="1" x14ac:dyDescent="0.3">
      <c r="A54" s="34" t="s">
        <v>97</v>
      </c>
      <c r="B54" s="35" t="s">
        <v>86</v>
      </c>
      <c r="C54" s="36" t="s">
        <v>15</v>
      </c>
      <c r="D54" s="22">
        <f>D52</f>
        <v>265.10000000000002</v>
      </c>
      <c r="E54" s="37">
        <f>D54*9</f>
        <v>2385.9</v>
      </c>
      <c r="F54" s="81"/>
      <c r="G54" s="81">
        <f t="shared" si="1"/>
        <v>0</v>
      </c>
    </row>
    <row r="55" spans="1:7" ht="16.5" thickBot="1" x14ac:dyDescent="0.3">
      <c r="A55" s="34" t="s">
        <v>98</v>
      </c>
      <c r="B55" s="35" t="s">
        <v>88</v>
      </c>
      <c r="C55" s="36" t="s">
        <v>19</v>
      </c>
      <c r="D55" s="22">
        <f>D54*3.2</f>
        <v>848.32000000000016</v>
      </c>
      <c r="E55" s="37">
        <f>D55*9</f>
        <v>7634.880000000001</v>
      </c>
      <c r="F55" s="81"/>
      <c r="G55" s="81">
        <f t="shared" si="1"/>
        <v>0</v>
      </c>
    </row>
    <row r="56" spans="1:7" ht="16.5" thickBot="1" x14ac:dyDescent="0.3">
      <c r="A56" s="34" t="s">
        <v>99</v>
      </c>
      <c r="B56" s="35" t="s">
        <v>100</v>
      </c>
      <c r="C56" s="36" t="s">
        <v>13</v>
      </c>
      <c r="D56" s="41">
        <f>(3.14*12.5*12.5-3.14*11*11)*0.45</f>
        <v>49.808250000000001</v>
      </c>
      <c r="E56" s="37">
        <f t="shared" si="0"/>
        <v>448.27424999999999</v>
      </c>
      <c r="F56" s="81"/>
      <c r="G56" s="81">
        <f t="shared" si="1"/>
        <v>0</v>
      </c>
    </row>
    <row r="57" spans="1:7" ht="16.5" thickBot="1" x14ac:dyDescent="0.3">
      <c r="A57" s="42" t="s">
        <v>101</v>
      </c>
      <c r="B57" s="43" t="s">
        <v>102</v>
      </c>
      <c r="C57" s="44" t="s">
        <v>13</v>
      </c>
      <c r="D57" s="41">
        <f>(3.14*12.5*12.5-3.14*11*11)*0.45*1.1</f>
        <v>54.789075000000004</v>
      </c>
      <c r="E57" s="45">
        <f t="shared" si="0"/>
        <v>493.10167500000006</v>
      </c>
      <c r="F57" s="81"/>
      <c r="G57" s="81">
        <f t="shared" si="1"/>
        <v>0</v>
      </c>
    </row>
    <row r="58" spans="1:7" ht="32.25" thickBot="1" x14ac:dyDescent="0.3">
      <c r="A58" s="46" t="s">
        <v>103</v>
      </c>
      <c r="B58" s="47" t="s">
        <v>104</v>
      </c>
      <c r="C58" s="48" t="s">
        <v>13</v>
      </c>
      <c r="D58" s="49">
        <f>(D11+D40*0.01)*2.4</f>
        <v>8.1877320000000005</v>
      </c>
      <c r="E58" s="50">
        <f>D58*9</f>
        <v>73.689588000000001</v>
      </c>
      <c r="F58" s="82"/>
      <c r="G58" s="83">
        <f t="shared" si="1"/>
        <v>0</v>
      </c>
    </row>
    <row r="59" spans="1:7" x14ac:dyDescent="0.25">
      <c r="B59" s="51" t="s">
        <v>105</v>
      </c>
      <c r="C59" s="52"/>
      <c r="D59" s="53"/>
      <c r="E59" s="54"/>
      <c r="F59" s="81"/>
      <c r="G59" s="81">
        <f>SUM(G11:G58)</f>
        <v>0</v>
      </c>
    </row>
    <row r="60" spans="1:7" x14ac:dyDescent="0.25">
      <c r="A60" s="55"/>
      <c r="B60" s="56"/>
      <c r="C60" s="57"/>
      <c r="D60" s="58"/>
      <c r="E60" s="59"/>
    </row>
    <row r="61" spans="1:7" x14ac:dyDescent="0.25">
      <c r="A61" s="55"/>
      <c r="B61" s="56"/>
      <c r="C61" s="57"/>
      <c r="D61" s="58"/>
      <c r="E61" s="59"/>
    </row>
    <row r="62" spans="1:7" ht="44.25" customHeight="1" thickBot="1" x14ac:dyDescent="0.3">
      <c r="A62" s="60" t="s">
        <v>106</v>
      </c>
      <c r="B62" s="61"/>
      <c r="C62" s="62"/>
      <c r="D62" s="62"/>
      <c r="E62" s="62"/>
    </row>
    <row r="63" spans="1:7" ht="16.5" thickBot="1" x14ac:dyDescent="0.3">
      <c r="A63" s="63" t="s">
        <v>3</v>
      </c>
      <c r="B63" s="64" t="s">
        <v>4</v>
      </c>
      <c r="C63" s="65" t="s">
        <v>5</v>
      </c>
      <c r="D63" s="66" t="s">
        <v>6</v>
      </c>
      <c r="E63" s="67" t="s">
        <v>7</v>
      </c>
    </row>
    <row r="64" spans="1:7" ht="16.5" thickBot="1" x14ac:dyDescent="0.3">
      <c r="A64" s="68"/>
      <c r="B64" s="69"/>
      <c r="C64" s="70"/>
      <c r="D64" s="71" t="s">
        <v>10</v>
      </c>
      <c r="E64" s="72" t="s">
        <v>107</v>
      </c>
    </row>
    <row r="65" spans="1:7" ht="48" thickBot="1" x14ac:dyDescent="0.3">
      <c r="A65" s="19">
        <v>1</v>
      </c>
      <c r="B65" s="20" t="s">
        <v>12</v>
      </c>
      <c r="C65" s="21" t="s">
        <v>13</v>
      </c>
      <c r="D65" s="22">
        <f>11.4*0.05*1.05</f>
        <v>0.59850000000000014</v>
      </c>
      <c r="E65" s="23">
        <f>D65*5</f>
        <v>2.9925000000000006</v>
      </c>
      <c r="F65" s="81"/>
      <c r="G65" s="81">
        <f t="shared" si="1"/>
        <v>0</v>
      </c>
    </row>
    <row r="66" spans="1:7" ht="32.25" thickBot="1" x14ac:dyDescent="0.3">
      <c r="A66" s="19">
        <v>2</v>
      </c>
      <c r="B66" s="20" t="s">
        <v>14</v>
      </c>
      <c r="C66" s="21" t="s">
        <v>15</v>
      </c>
      <c r="D66" s="22">
        <f>11.4/5*1.05</f>
        <v>2.3940000000000006</v>
      </c>
      <c r="E66" s="24">
        <f>D66*5</f>
        <v>11.970000000000002</v>
      </c>
      <c r="F66" s="81"/>
      <c r="G66" s="81">
        <f t="shared" si="1"/>
        <v>0</v>
      </c>
    </row>
    <row r="67" spans="1:7" ht="15.75" customHeight="1" x14ac:dyDescent="0.25">
      <c r="A67" s="25">
        <v>3</v>
      </c>
      <c r="B67" s="26" t="s">
        <v>16</v>
      </c>
      <c r="C67" s="25" t="s">
        <v>15</v>
      </c>
      <c r="D67" s="27">
        <f>D66</f>
        <v>2.3940000000000006</v>
      </c>
      <c r="E67" s="28">
        <f>D67*5</f>
        <v>11.970000000000002</v>
      </c>
      <c r="F67" s="81"/>
      <c r="G67" s="81">
        <f t="shared" si="1"/>
        <v>0</v>
      </c>
    </row>
    <row r="68" spans="1:7" ht="16.5" thickBot="1" x14ac:dyDescent="0.3">
      <c r="A68" s="29"/>
      <c r="B68" s="30"/>
      <c r="C68" s="29"/>
      <c r="D68" s="31"/>
      <c r="E68" s="32"/>
      <c r="F68" s="81"/>
      <c r="G68" s="81">
        <f t="shared" si="1"/>
        <v>0</v>
      </c>
    </row>
    <row r="69" spans="1:7" ht="16.5" thickBot="1" x14ac:dyDescent="0.3">
      <c r="A69" s="33" t="s">
        <v>17</v>
      </c>
      <c r="B69" s="20" t="s">
        <v>18</v>
      </c>
      <c r="C69" s="21" t="s">
        <v>19</v>
      </c>
      <c r="D69" s="22">
        <f>D67*1.5</f>
        <v>3.5910000000000011</v>
      </c>
      <c r="E69" s="24">
        <f t="shared" ref="E69:E112" si="2">D69*5</f>
        <v>17.955000000000005</v>
      </c>
      <c r="F69" s="81"/>
      <c r="G69" s="81">
        <f t="shared" si="1"/>
        <v>0</v>
      </c>
    </row>
    <row r="70" spans="1:7" ht="32.25" thickBot="1" x14ac:dyDescent="0.3">
      <c r="A70" s="33">
        <v>4</v>
      </c>
      <c r="B70" s="20" t="s">
        <v>20</v>
      </c>
      <c r="C70" s="21" t="s">
        <v>15</v>
      </c>
      <c r="D70" s="22">
        <f>41*0.15*0.15*1.05</f>
        <v>0.96862499999999996</v>
      </c>
      <c r="E70" s="24">
        <f t="shared" si="2"/>
        <v>4.8431249999999997</v>
      </c>
      <c r="F70" s="81"/>
      <c r="G70" s="81">
        <f t="shared" si="1"/>
        <v>0</v>
      </c>
    </row>
    <row r="71" spans="1:7" ht="16.5" thickBot="1" x14ac:dyDescent="0.3">
      <c r="A71" s="33" t="s">
        <v>21</v>
      </c>
      <c r="B71" s="20" t="s">
        <v>22</v>
      </c>
      <c r="C71" s="21" t="s">
        <v>19</v>
      </c>
      <c r="D71" s="22">
        <f>D70*34</f>
        <v>32.933250000000001</v>
      </c>
      <c r="E71" s="24">
        <f t="shared" si="2"/>
        <v>164.66624999999999</v>
      </c>
      <c r="F71" s="81"/>
      <c r="G71" s="81">
        <f t="shared" si="1"/>
        <v>0</v>
      </c>
    </row>
    <row r="72" spans="1:7" ht="32.25" thickBot="1" x14ac:dyDescent="0.3">
      <c r="A72" s="34" t="s">
        <v>23</v>
      </c>
      <c r="B72" s="35" t="s">
        <v>24</v>
      </c>
      <c r="C72" s="36" t="s">
        <v>15</v>
      </c>
      <c r="D72" s="22">
        <f>11.4*1.05</f>
        <v>11.97</v>
      </c>
      <c r="E72" s="24">
        <f t="shared" si="2"/>
        <v>59.85</v>
      </c>
      <c r="F72" s="81"/>
      <c r="G72" s="81">
        <f t="shared" si="1"/>
        <v>0</v>
      </c>
    </row>
    <row r="73" spans="1:7" ht="16.5" thickBot="1" x14ac:dyDescent="0.3">
      <c r="A73" s="33" t="s">
        <v>25</v>
      </c>
      <c r="B73" s="20" t="s">
        <v>26</v>
      </c>
      <c r="C73" s="21" t="s">
        <v>19</v>
      </c>
      <c r="D73" s="22">
        <f>D72*34</f>
        <v>406.98</v>
      </c>
      <c r="E73" s="24">
        <f t="shared" si="2"/>
        <v>2034.9</v>
      </c>
      <c r="F73" s="81"/>
      <c r="G73" s="81">
        <f t="shared" si="1"/>
        <v>0</v>
      </c>
    </row>
    <row r="74" spans="1:7" ht="32.25" thickBot="1" x14ac:dyDescent="0.3">
      <c r="A74" s="34" t="s">
        <v>27</v>
      </c>
      <c r="B74" s="35" t="s">
        <v>28</v>
      </c>
      <c r="C74" s="36" t="s">
        <v>15</v>
      </c>
      <c r="D74" s="22">
        <f>D72</f>
        <v>11.97</v>
      </c>
      <c r="E74" s="24">
        <f t="shared" si="2"/>
        <v>59.85</v>
      </c>
      <c r="F74" s="81"/>
      <c r="G74" s="81">
        <f t="shared" si="1"/>
        <v>0</v>
      </c>
    </row>
    <row r="75" spans="1:7" ht="16.5" thickBot="1" x14ac:dyDescent="0.3">
      <c r="A75" s="33" t="s">
        <v>29</v>
      </c>
      <c r="B75" s="20" t="s">
        <v>30</v>
      </c>
      <c r="C75" s="21" t="s">
        <v>19</v>
      </c>
      <c r="D75" s="22">
        <f>D74*3.2</f>
        <v>38.304000000000002</v>
      </c>
      <c r="E75" s="24">
        <f t="shared" si="2"/>
        <v>191.52</v>
      </c>
      <c r="F75" s="81"/>
      <c r="G75" s="81">
        <f t="shared" si="1"/>
        <v>0</v>
      </c>
    </row>
    <row r="76" spans="1:7" ht="16.5" thickBot="1" x14ac:dyDescent="0.3">
      <c r="A76" s="34" t="s">
        <v>31</v>
      </c>
      <c r="B76" s="35" t="s">
        <v>32</v>
      </c>
      <c r="C76" s="36" t="s">
        <v>33</v>
      </c>
      <c r="D76" s="22">
        <f>39.017</f>
        <v>39.017000000000003</v>
      </c>
      <c r="E76" s="37">
        <f t="shared" si="2"/>
        <v>195.08500000000001</v>
      </c>
      <c r="F76" s="81"/>
      <c r="G76" s="81">
        <f t="shared" ref="G76:G112" si="3">F76*E76</f>
        <v>0</v>
      </c>
    </row>
    <row r="77" spans="1:7" ht="16.5" thickBot="1" x14ac:dyDescent="0.3">
      <c r="A77" s="34" t="s">
        <v>34</v>
      </c>
      <c r="B77" s="35" t="s">
        <v>35</v>
      </c>
      <c r="C77" s="36" t="s">
        <v>36</v>
      </c>
      <c r="D77" s="22">
        <v>1.25</v>
      </c>
      <c r="E77" s="37">
        <f t="shared" si="2"/>
        <v>6.25</v>
      </c>
      <c r="F77" s="81"/>
      <c r="G77" s="81">
        <f t="shared" si="3"/>
        <v>0</v>
      </c>
    </row>
    <row r="78" spans="1:7" ht="16.5" thickBot="1" x14ac:dyDescent="0.3">
      <c r="A78" s="34" t="s">
        <v>37</v>
      </c>
      <c r="B78" s="35" t="s">
        <v>38</v>
      </c>
      <c r="C78" s="36" t="s">
        <v>36</v>
      </c>
      <c r="D78" s="22">
        <v>2.5000000000000001E-2</v>
      </c>
      <c r="E78" s="37">
        <f t="shared" si="2"/>
        <v>0.125</v>
      </c>
      <c r="F78" s="81"/>
      <c r="G78" s="81">
        <f t="shared" si="3"/>
        <v>0</v>
      </c>
    </row>
    <row r="79" spans="1:7" ht="16.5" thickBot="1" x14ac:dyDescent="0.3">
      <c r="A79" s="34" t="s">
        <v>39</v>
      </c>
      <c r="B79" s="35" t="s">
        <v>40</v>
      </c>
      <c r="C79" s="36" t="s">
        <v>41</v>
      </c>
      <c r="D79" s="22">
        <f>2*3</f>
        <v>6</v>
      </c>
      <c r="E79" s="37">
        <f t="shared" si="2"/>
        <v>30</v>
      </c>
      <c r="F79" s="81"/>
      <c r="G79" s="81">
        <f t="shared" si="3"/>
        <v>0</v>
      </c>
    </row>
    <row r="80" spans="1:7" ht="16.5" thickBot="1" x14ac:dyDescent="0.3">
      <c r="A80" s="34" t="s">
        <v>42</v>
      </c>
      <c r="B80" s="35" t="s">
        <v>43</v>
      </c>
      <c r="C80" s="36" t="s">
        <v>41</v>
      </c>
      <c r="D80" s="22">
        <f>8*3</f>
        <v>24</v>
      </c>
      <c r="E80" s="37">
        <f t="shared" si="2"/>
        <v>120</v>
      </c>
      <c r="F80" s="81"/>
      <c r="G80" s="81">
        <f t="shared" si="3"/>
        <v>0</v>
      </c>
    </row>
    <row r="81" spans="1:7" ht="16.5" thickBot="1" x14ac:dyDescent="0.3">
      <c r="A81" s="34" t="s">
        <v>44</v>
      </c>
      <c r="B81" s="35" t="s">
        <v>45</v>
      </c>
      <c r="C81" s="36" t="s">
        <v>36</v>
      </c>
      <c r="D81" s="22">
        <f>(D77+D78)*0.021</f>
        <v>2.6775E-2</v>
      </c>
      <c r="E81" s="37">
        <f t="shared" si="2"/>
        <v>0.13387499999999999</v>
      </c>
      <c r="F81" s="81"/>
      <c r="G81" s="81">
        <f t="shared" si="3"/>
        <v>0</v>
      </c>
    </row>
    <row r="82" spans="1:7" ht="16.5" thickBot="1" x14ac:dyDescent="0.3">
      <c r="A82" s="33" t="s">
        <v>46</v>
      </c>
      <c r="B82" s="20" t="s">
        <v>47</v>
      </c>
      <c r="C82" s="21" t="s">
        <v>13</v>
      </c>
      <c r="D82" s="22">
        <f>D72*0.1</f>
        <v>1.1970000000000001</v>
      </c>
      <c r="E82" s="24">
        <f t="shared" si="2"/>
        <v>5.9850000000000003</v>
      </c>
      <c r="F82" s="81"/>
      <c r="G82" s="81">
        <f t="shared" si="3"/>
        <v>0</v>
      </c>
    </row>
    <row r="83" spans="1:7" ht="32.25" thickBot="1" x14ac:dyDescent="0.3">
      <c r="A83" s="33" t="s">
        <v>48</v>
      </c>
      <c r="B83" s="20" t="s">
        <v>49</v>
      </c>
      <c r="C83" s="21" t="s">
        <v>13</v>
      </c>
      <c r="D83" s="22">
        <f>D82*1.1</f>
        <v>1.3167000000000002</v>
      </c>
      <c r="E83" s="24">
        <f t="shared" si="2"/>
        <v>6.5835000000000008</v>
      </c>
      <c r="F83" s="81"/>
      <c r="G83" s="81">
        <f t="shared" si="3"/>
        <v>0</v>
      </c>
    </row>
    <row r="84" spans="1:7" ht="16.5" thickBot="1" x14ac:dyDescent="0.3">
      <c r="A84" s="34" t="s">
        <v>50</v>
      </c>
      <c r="B84" s="35" t="s">
        <v>51</v>
      </c>
      <c r="C84" s="36" t="s">
        <v>15</v>
      </c>
      <c r="D84" s="22">
        <f>33.1</f>
        <v>33.1</v>
      </c>
      <c r="E84" s="37">
        <f t="shared" si="2"/>
        <v>165.5</v>
      </c>
      <c r="F84" s="81"/>
      <c r="G84" s="81">
        <f t="shared" si="3"/>
        <v>0</v>
      </c>
    </row>
    <row r="85" spans="1:7" ht="16.5" thickBot="1" x14ac:dyDescent="0.3">
      <c r="A85" s="34" t="s">
        <v>52</v>
      </c>
      <c r="B85" s="35" t="s">
        <v>53</v>
      </c>
      <c r="C85" s="36" t="s">
        <v>54</v>
      </c>
      <c r="D85" s="22">
        <f>D84*0.35</f>
        <v>11.584999999999999</v>
      </c>
      <c r="E85" s="37">
        <f t="shared" si="2"/>
        <v>57.924999999999997</v>
      </c>
      <c r="F85" s="81"/>
      <c r="G85" s="81">
        <f t="shared" si="3"/>
        <v>0</v>
      </c>
    </row>
    <row r="86" spans="1:7" ht="16.5" thickBot="1" x14ac:dyDescent="0.3">
      <c r="A86" s="33" t="s">
        <v>55</v>
      </c>
      <c r="B86" s="20" t="s">
        <v>56</v>
      </c>
      <c r="C86" s="21" t="s">
        <v>15</v>
      </c>
      <c r="D86" s="22">
        <f>D84</f>
        <v>33.1</v>
      </c>
      <c r="E86" s="24">
        <f t="shared" si="2"/>
        <v>165.5</v>
      </c>
      <c r="F86" s="81"/>
      <c r="G86" s="81">
        <f t="shared" si="3"/>
        <v>0</v>
      </c>
    </row>
    <row r="87" spans="1:7" ht="16.5" thickBot="1" x14ac:dyDescent="0.3">
      <c r="A87" s="33" t="s">
        <v>57</v>
      </c>
      <c r="B87" s="20" t="s">
        <v>58</v>
      </c>
      <c r="C87" s="21" t="s">
        <v>15</v>
      </c>
      <c r="D87" s="38">
        <f>D86*1.15</f>
        <v>38.064999999999998</v>
      </c>
      <c r="E87" s="24">
        <f t="shared" si="2"/>
        <v>190.32499999999999</v>
      </c>
      <c r="F87" s="81"/>
      <c r="G87" s="81">
        <f t="shared" si="3"/>
        <v>0</v>
      </c>
    </row>
    <row r="88" spans="1:7" ht="16.5" thickBot="1" x14ac:dyDescent="0.3">
      <c r="A88" s="33" t="s">
        <v>59</v>
      </c>
      <c r="B88" s="20" t="s">
        <v>60</v>
      </c>
      <c r="C88" s="39" t="s">
        <v>19</v>
      </c>
      <c r="D88" s="40">
        <f>D87/100*15.02</f>
        <v>5.7173629999999998</v>
      </c>
      <c r="E88" s="24">
        <f t="shared" si="2"/>
        <v>28.586814999999998</v>
      </c>
      <c r="F88" s="81"/>
      <c r="G88" s="81">
        <f t="shared" si="3"/>
        <v>0</v>
      </c>
    </row>
    <row r="89" spans="1:7" ht="16.5" thickBot="1" x14ac:dyDescent="0.3">
      <c r="A89" s="34" t="s">
        <v>61</v>
      </c>
      <c r="B89" s="35" t="s">
        <v>62</v>
      </c>
      <c r="C89" s="36" t="s">
        <v>33</v>
      </c>
      <c r="D89" s="22">
        <f>37.13</f>
        <v>37.130000000000003</v>
      </c>
      <c r="E89" s="37">
        <f t="shared" si="2"/>
        <v>185.65</v>
      </c>
      <c r="F89" s="81"/>
      <c r="G89" s="81">
        <f t="shared" si="3"/>
        <v>0</v>
      </c>
    </row>
    <row r="90" spans="1:7" ht="16.5" thickBot="1" x14ac:dyDescent="0.3">
      <c r="A90" s="34" t="s">
        <v>63</v>
      </c>
      <c r="B90" s="35" t="s">
        <v>64</v>
      </c>
      <c r="C90" s="36" t="s">
        <v>41</v>
      </c>
      <c r="D90" s="22">
        <f>D89*2</f>
        <v>74.260000000000005</v>
      </c>
      <c r="E90" s="37">
        <f t="shared" si="2"/>
        <v>371.3</v>
      </c>
      <c r="F90" s="81"/>
      <c r="G90" s="81">
        <f t="shared" si="3"/>
        <v>0</v>
      </c>
    </row>
    <row r="91" spans="1:7" ht="16.5" thickBot="1" x14ac:dyDescent="0.3">
      <c r="A91" s="34" t="s">
        <v>65</v>
      </c>
      <c r="B91" s="35" t="s">
        <v>66</v>
      </c>
      <c r="C91" s="36" t="s">
        <v>67</v>
      </c>
      <c r="D91" s="22">
        <f>D89</f>
        <v>37.130000000000003</v>
      </c>
      <c r="E91" s="37">
        <f t="shared" si="2"/>
        <v>185.65</v>
      </c>
      <c r="F91" s="81"/>
      <c r="G91" s="81">
        <f t="shared" si="3"/>
        <v>0</v>
      </c>
    </row>
    <row r="92" spans="1:7" ht="16.5" thickBot="1" x14ac:dyDescent="0.3">
      <c r="A92" s="34" t="s">
        <v>68</v>
      </c>
      <c r="B92" s="35" t="s">
        <v>69</v>
      </c>
      <c r="C92" s="36" t="s">
        <v>13</v>
      </c>
      <c r="D92" s="22">
        <f>(3.14*8.413*8.413-3.14*6.913*6.913)*0.45</f>
        <v>32.483457000000001</v>
      </c>
      <c r="E92" s="37">
        <f t="shared" si="2"/>
        <v>162.41728499999999</v>
      </c>
      <c r="F92" s="81"/>
      <c r="G92" s="81">
        <f t="shared" si="3"/>
        <v>0</v>
      </c>
    </row>
    <row r="93" spans="1:7" ht="16.5" thickBot="1" x14ac:dyDescent="0.3">
      <c r="A93" s="34" t="s">
        <v>70</v>
      </c>
      <c r="B93" s="35" t="s">
        <v>71</v>
      </c>
      <c r="C93" s="36" t="s">
        <v>13</v>
      </c>
      <c r="D93" s="22">
        <f>D92</f>
        <v>32.483457000000001</v>
      </c>
      <c r="E93" s="37">
        <f t="shared" si="2"/>
        <v>162.41728499999999</v>
      </c>
      <c r="F93" s="81"/>
      <c r="G93" s="81">
        <f t="shared" si="3"/>
        <v>0</v>
      </c>
    </row>
    <row r="94" spans="1:7" ht="48" thickBot="1" x14ac:dyDescent="0.3">
      <c r="A94" s="34" t="s">
        <v>72</v>
      </c>
      <c r="B94" s="35" t="s">
        <v>73</v>
      </c>
      <c r="C94" s="36" t="s">
        <v>15</v>
      </c>
      <c r="D94" s="22">
        <f>136.51*1.05</f>
        <v>143.3355</v>
      </c>
      <c r="E94" s="37">
        <f t="shared" si="2"/>
        <v>716.67750000000001</v>
      </c>
      <c r="F94" s="81"/>
      <c r="G94" s="81">
        <f t="shared" si="3"/>
        <v>0</v>
      </c>
    </row>
    <row r="95" spans="1:7" ht="16.5" thickBot="1" x14ac:dyDescent="0.3">
      <c r="A95" s="34" t="s">
        <v>74</v>
      </c>
      <c r="B95" s="35" t="s">
        <v>75</v>
      </c>
      <c r="C95" s="36" t="s">
        <v>15</v>
      </c>
      <c r="D95" s="22">
        <f>D94/5</f>
        <v>28.667099999999998</v>
      </c>
      <c r="E95" s="37">
        <f t="shared" si="2"/>
        <v>143.3355</v>
      </c>
      <c r="F95" s="81"/>
      <c r="G95" s="81">
        <f t="shared" si="3"/>
        <v>0</v>
      </c>
    </row>
    <row r="96" spans="1:7" ht="16.5" thickBot="1" x14ac:dyDescent="0.3">
      <c r="A96" s="34" t="s">
        <v>76</v>
      </c>
      <c r="B96" s="35" t="s">
        <v>16</v>
      </c>
      <c r="C96" s="36" t="s">
        <v>15</v>
      </c>
      <c r="D96" s="22">
        <f>D95</f>
        <v>28.667099999999998</v>
      </c>
      <c r="E96" s="37">
        <f t="shared" si="2"/>
        <v>143.3355</v>
      </c>
      <c r="F96" s="81"/>
      <c r="G96" s="81">
        <f t="shared" si="3"/>
        <v>0</v>
      </c>
    </row>
    <row r="97" spans="1:7" ht="16.5" thickBot="1" x14ac:dyDescent="0.3">
      <c r="A97" s="34" t="s">
        <v>77</v>
      </c>
      <c r="B97" s="35" t="s">
        <v>78</v>
      </c>
      <c r="C97" s="36" t="s">
        <v>19</v>
      </c>
      <c r="D97" s="22">
        <f>D96*1.5</f>
        <v>43.000649999999993</v>
      </c>
      <c r="E97" s="37">
        <f t="shared" si="2"/>
        <v>215.00324999999998</v>
      </c>
      <c r="F97" s="81"/>
      <c r="G97" s="81">
        <f t="shared" si="3"/>
        <v>0</v>
      </c>
    </row>
    <row r="98" spans="1:7" ht="16.5" thickBot="1" x14ac:dyDescent="0.3">
      <c r="A98" s="34" t="s">
        <v>79</v>
      </c>
      <c r="B98" s="35" t="s">
        <v>80</v>
      </c>
      <c r="C98" s="36" t="s">
        <v>15</v>
      </c>
      <c r="D98" s="22">
        <f>D94</f>
        <v>143.3355</v>
      </c>
      <c r="E98" s="37">
        <f t="shared" si="2"/>
        <v>716.67750000000001</v>
      </c>
      <c r="F98" s="81"/>
      <c r="G98" s="81">
        <f t="shared" si="3"/>
        <v>0</v>
      </c>
    </row>
    <row r="99" spans="1:7" ht="16.5" thickBot="1" x14ac:dyDescent="0.3">
      <c r="A99" s="34" t="s">
        <v>81</v>
      </c>
      <c r="B99" s="35" t="s">
        <v>82</v>
      </c>
      <c r="C99" s="36" t="s">
        <v>19</v>
      </c>
      <c r="D99" s="22">
        <f>D98*17</f>
        <v>2436.7035000000001</v>
      </c>
      <c r="E99" s="37">
        <f t="shared" si="2"/>
        <v>12183.5175</v>
      </c>
      <c r="F99" s="81"/>
      <c r="G99" s="81">
        <f t="shared" si="3"/>
        <v>0</v>
      </c>
    </row>
    <row r="100" spans="1:7" ht="32.25" thickBot="1" x14ac:dyDescent="0.3">
      <c r="A100" s="34" t="s">
        <v>83</v>
      </c>
      <c r="B100" s="35" t="s">
        <v>84</v>
      </c>
      <c r="C100" s="36" t="s">
        <v>15</v>
      </c>
      <c r="D100" s="22">
        <f>D98</f>
        <v>143.3355</v>
      </c>
      <c r="E100" s="37">
        <f t="shared" si="2"/>
        <v>716.67750000000001</v>
      </c>
      <c r="F100" s="81"/>
      <c r="G100" s="81">
        <f t="shared" si="3"/>
        <v>0</v>
      </c>
    </row>
    <row r="101" spans="1:7" ht="48" thickBot="1" x14ac:dyDescent="0.3">
      <c r="A101" s="34" t="s">
        <v>85</v>
      </c>
      <c r="B101" s="35" t="s">
        <v>86</v>
      </c>
      <c r="C101" s="36" t="s">
        <v>15</v>
      </c>
      <c r="D101" s="22">
        <f>D100</f>
        <v>143.3355</v>
      </c>
      <c r="E101" s="37">
        <f t="shared" si="2"/>
        <v>716.67750000000001</v>
      </c>
      <c r="F101" s="81"/>
      <c r="G101" s="81">
        <f t="shared" si="3"/>
        <v>0</v>
      </c>
    </row>
    <row r="102" spans="1:7" ht="16.5" thickBot="1" x14ac:dyDescent="0.3">
      <c r="A102" s="34" t="s">
        <v>87</v>
      </c>
      <c r="B102" s="35" t="s">
        <v>88</v>
      </c>
      <c r="C102" s="36" t="s">
        <v>19</v>
      </c>
      <c r="D102" s="22">
        <f>D101*3.2</f>
        <v>458.67360000000002</v>
      </c>
      <c r="E102" s="37">
        <f t="shared" si="2"/>
        <v>2293.3679999999999</v>
      </c>
      <c r="F102" s="81"/>
      <c r="G102" s="81">
        <f t="shared" si="3"/>
        <v>0</v>
      </c>
    </row>
    <row r="103" spans="1:7" ht="16.5" thickBot="1" x14ac:dyDescent="0.3">
      <c r="A103" s="34" t="s">
        <v>89</v>
      </c>
      <c r="B103" s="35" t="s">
        <v>90</v>
      </c>
      <c r="C103" s="36" t="s">
        <v>33</v>
      </c>
      <c r="D103" s="22">
        <f>37.13*1.05</f>
        <v>38.986500000000007</v>
      </c>
      <c r="E103" s="37">
        <f t="shared" si="2"/>
        <v>194.93250000000003</v>
      </c>
      <c r="F103" s="81"/>
      <c r="G103" s="81">
        <f t="shared" si="3"/>
        <v>0</v>
      </c>
    </row>
    <row r="104" spans="1:7" ht="16.5" thickBot="1" x14ac:dyDescent="0.3">
      <c r="A104" s="34" t="s">
        <v>91</v>
      </c>
      <c r="B104" s="35" t="s">
        <v>26</v>
      </c>
      <c r="C104" s="36" t="s">
        <v>19</v>
      </c>
      <c r="D104" s="22">
        <f>0.0789*1.05</f>
        <v>8.2845000000000002E-2</v>
      </c>
      <c r="E104" s="37">
        <f t="shared" si="2"/>
        <v>0.41422500000000001</v>
      </c>
      <c r="F104" s="81"/>
      <c r="G104" s="81">
        <f t="shared" si="3"/>
        <v>0</v>
      </c>
    </row>
    <row r="105" spans="1:7" ht="48" thickBot="1" x14ac:dyDescent="0.3">
      <c r="A105" s="34" t="s">
        <v>92</v>
      </c>
      <c r="B105" s="20" t="s">
        <v>93</v>
      </c>
      <c r="C105" s="36" t="s">
        <v>15</v>
      </c>
      <c r="D105" s="22">
        <f>68*1.1</f>
        <v>74.800000000000011</v>
      </c>
      <c r="E105" s="37">
        <f t="shared" si="2"/>
        <v>374.00000000000006</v>
      </c>
      <c r="F105" s="81"/>
      <c r="G105" s="81">
        <f t="shared" si="3"/>
        <v>0</v>
      </c>
    </row>
    <row r="106" spans="1:7" ht="16.5" thickBot="1" x14ac:dyDescent="0.3">
      <c r="A106" s="34" t="s">
        <v>94</v>
      </c>
      <c r="B106" s="35" t="s">
        <v>108</v>
      </c>
      <c r="C106" s="36" t="s">
        <v>15</v>
      </c>
      <c r="D106" s="22">
        <f>68*1.1</f>
        <v>74.800000000000011</v>
      </c>
      <c r="E106" s="37">
        <f t="shared" si="2"/>
        <v>374.00000000000006</v>
      </c>
      <c r="F106" s="81"/>
      <c r="G106" s="81">
        <f t="shared" si="3"/>
        <v>0</v>
      </c>
    </row>
    <row r="107" spans="1:7" ht="16.5" thickBot="1" x14ac:dyDescent="0.3">
      <c r="A107" s="34" t="s">
        <v>96</v>
      </c>
      <c r="B107" s="35" t="s">
        <v>26</v>
      </c>
      <c r="C107" s="21" t="s">
        <v>13</v>
      </c>
      <c r="D107" s="22">
        <f>2.72*1.1</f>
        <v>2.9920000000000004</v>
      </c>
      <c r="E107" s="24">
        <f t="shared" si="2"/>
        <v>14.960000000000003</v>
      </c>
      <c r="F107" s="81"/>
      <c r="G107" s="81">
        <f t="shared" si="3"/>
        <v>0</v>
      </c>
    </row>
    <row r="108" spans="1:7" ht="48" thickBot="1" x14ac:dyDescent="0.3">
      <c r="A108" s="34" t="s">
        <v>97</v>
      </c>
      <c r="B108" s="35" t="s">
        <v>86</v>
      </c>
      <c r="C108" s="36" t="s">
        <v>15</v>
      </c>
      <c r="D108" s="22">
        <f>D106</f>
        <v>74.800000000000011</v>
      </c>
      <c r="E108" s="37">
        <f t="shared" si="2"/>
        <v>374.00000000000006</v>
      </c>
      <c r="F108" s="81"/>
      <c r="G108" s="81">
        <f t="shared" si="3"/>
        <v>0</v>
      </c>
    </row>
    <row r="109" spans="1:7" ht="16.5" thickBot="1" x14ac:dyDescent="0.3">
      <c r="A109" s="34" t="s">
        <v>98</v>
      </c>
      <c r="B109" s="35" t="s">
        <v>88</v>
      </c>
      <c r="C109" s="36" t="s">
        <v>19</v>
      </c>
      <c r="D109" s="22">
        <f>D108*3.2</f>
        <v>239.36000000000004</v>
      </c>
      <c r="E109" s="37">
        <f t="shared" si="2"/>
        <v>1196.8000000000002</v>
      </c>
      <c r="F109" s="81"/>
      <c r="G109" s="81">
        <f t="shared" si="3"/>
        <v>0</v>
      </c>
    </row>
    <row r="110" spans="1:7" ht="16.5" thickBot="1" x14ac:dyDescent="0.3">
      <c r="A110" s="34" t="s">
        <v>99</v>
      </c>
      <c r="B110" s="35" t="s">
        <v>100</v>
      </c>
      <c r="C110" s="36" t="s">
        <v>13</v>
      </c>
      <c r="D110" s="41">
        <f>D92</f>
        <v>32.483457000000001</v>
      </c>
      <c r="E110" s="37">
        <f t="shared" si="2"/>
        <v>162.41728499999999</v>
      </c>
      <c r="F110" s="81"/>
      <c r="G110" s="81">
        <f t="shared" si="3"/>
        <v>0</v>
      </c>
    </row>
    <row r="111" spans="1:7" ht="16.5" thickBot="1" x14ac:dyDescent="0.3">
      <c r="A111" s="42" t="s">
        <v>101</v>
      </c>
      <c r="B111" s="43" t="s">
        <v>102</v>
      </c>
      <c r="C111" s="44" t="s">
        <v>13</v>
      </c>
      <c r="D111" s="41">
        <f>D110*1.1</f>
        <v>35.731802700000003</v>
      </c>
      <c r="E111" s="45">
        <f t="shared" si="2"/>
        <v>178.65901350000001</v>
      </c>
      <c r="F111" s="81"/>
      <c r="G111" s="81">
        <f t="shared" si="3"/>
        <v>0</v>
      </c>
    </row>
    <row r="112" spans="1:7" ht="32.25" thickBot="1" x14ac:dyDescent="0.3">
      <c r="A112" s="73" t="s">
        <v>103</v>
      </c>
      <c r="B112" s="74" t="s">
        <v>104</v>
      </c>
      <c r="C112" s="75" t="s">
        <v>13</v>
      </c>
      <c r="D112" s="76">
        <f>5.83</f>
        <v>5.83</v>
      </c>
      <c r="E112" s="77">
        <f t="shared" si="2"/>
        <v>29.15</v>
      </c>
      <c r="F112" s="83"/>
      <c r="G112" s="81">
        <f t="shared" si="3"/>
        <v>0</v>
      </c>
    </row>
    <row r="113" spans="2:7" x14ac:dyDescent="0.25">
      <c r="B113" s="78" t="s">
        <v>105</v>
      </c>
      <c r="C113" s="78"/>
      <c r="D113" s="78"/>
      <c r="E113" s="79"/>
      <c r="F113" s="81"/>
      <c r="G113" s="81">
        <f>SUM(G65:G112)</f>
        <v>0</v>
      </c>
    </row>
    <row r="114" spans="2:7" x14ac:dyDescent="0.25">
      <c r="E114" s="80"/>
    </row>
    <row r="115" spans="2:7" x14ac:dyDescent="0.25">
      <c r="E115" s="80"/>
    </row>
    <row r="116" spans="2:7" x14ac:dyDescent="0.25">
      <c r="E116" s="80"/>
    </row>
    <row r="117" spans="2:7" x14ac:dyDescent="0.25">
      <c r="E117" s="80"/>
    </row>
    <row r="118" spans="2:7" x14ac:dyDescent="0.25">
      <c r="E118" s="80"/>
    </row>
    <row r="119" spans="2:7" x14ac:dyDescent="0.25">
      <c r="E119" s="80"/>
    </row>
    <row r="120" spans="2:7" x14ac:dyDescent="0.25">
      <c r="E120" s="80"/>
    </row>
    <row r="121" spans="2:7" x14ac:dyDescent="0.25">
      <c r="E121" s="80"/>
    </row>
    <row r="122" spans="2:7" x14ac:dyDescent="0.25">
      <c r="E122" s="80"/>
    </row>
    <row r="123" spans="2:7" x14ac:dyDescent="0.25">
      <c r="E123" s="80"/>
    </row>
    <row r="124" spans="2:7" x14ac:dyDescent="0.25">
      <c r="E124" s="80"/>
    </row>
    <row r="125" spans="2:7" x14ac:dyDescent="0.25">
      <c r="E125" s="80"/>
    </row>
    <row r="126" spans="2:7" x14ac:dyDescent="0.25">
      <c r="E126" s="80"/>
    </row>
    <row r="127" spans="2:7" x14ac:dyDescent="0.25">
      <c r="E127" s="80"/>
    </row>
    <row r="128" spans="2:7" x14ac:dyDescent="0.25">
      <c r="E128" s="80"/>
    </row>
    <row r="129" spans="5:5" x14ac:dyDescent="0.25">
      <c r="E129" s="80"/>
    </row>
    <row r="130" spans="5:5" x14ac:dyDescent="0.25">
      <c r="E130" s="80"/>
    </row>
    <row r="131" spans="5:5" x14ac:dyDescent="0.25">
      <c r="E131" s="80"/>
    </row>
    <row r="132" spans="5:5" x14ac:dyDescent="0.25">
      <c r="E132" s="80"/>
    </row>
    <row r="133" spans="5:5" x14ac:dyDescent="0.25">
      <c r="E133" s="80"/>
    </row>
    <row r="134" spans="5:5" x14ac:dyDescent="0.25">
      <c r="E134" s="80"/>
    </row>
    <row r="135" spans="5:5" x14ac:dyDescent="0.25">
      <c r="E135" s="80"/>
    </row>
    <row r="136" spans="5:5" x14ac:dyDescent="0.25">
      <c r="E136" s="80"/>
    </row>
    <row r="137" spans="5:5" x14ac:dyDescent="0.25">
      <c r="E137" s="80"/>
    </row>
    <row r="138" spans="5:5" x14ac:dyDescent="0.25">
      <c r="E138" s="80"/>
    </row>
    <row r="139" spans="5:5" x14ac:dyDescent="0.25">
      <c r="E139" s="80"/>
    </row>
    <row r="140" spans="5:5" x14ac:dyDescent="0.25">
      <c r="E140" s="80"/>
    </row>
    <row r="141" spans="5:5" x14ac:dyDescent="0.25">
      <c r="E141" s="80"/>
    </row>
  </sheetData>
  <mergeCells count="19">
    <mergeCell ref="E67:E68"/>
    <mergeCell ref="A63:A64"/>
    <mergeCell ref="B63:B64"/>
    <mergeCell ref="A67:A68"/>
    <mergeCell ref="B67:B68"/>
    <mergeCell ref="C67:C68"/>
    <mergeCell ref="D67:D68"/>
    <mergeCell ref="A13:A14"/>
    <mergeCell ref="B13:B14"/>
    <mergeCell ref="C13:C14"/>
    <mergeCell ref="D13:D14"/>
    <mergeCell ref="E13:E14"/>
    <mergeCell ref="A62:E62"/>
    <mergeCell ref="A2:E2"/>
    <mergeCell ref="A3:E3"/>
    <mergeCell ref="A8:E8"/>
    <mergeCell ref="A9:A10"/>
    <mergeCell ref="B9:B10"/>
    <mergeCell ref="C9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71C32-A512-4E4F-AF0E-3861CD0EADA2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Никлюшин Александр Викторович</dc:creator>
  <cp:lastModifiedBy>Никлюшин Александр Викторович</cp:lastModifiedBy>
  <dcterms:created xsi:type="dcterms:W3CDTF">2021-04-08T11:31:00Z</dcterms:created>
  <dcterms:modified xsi:type="dcterms:W3CDTF">2021-04-08T11:33:21Z</dcterms:modified>
</cp:coreProperties>
</file>